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3256" windowHeight="13176" tabRatio="878" firstSheet="2" activeTab="2"/>
  </bookViews>
  <sheets>
    <sheet name="PRÓXIMOS" sheetId="14" state="hidden" r:id="rId1"/>
    <sheet name="proximos" sheetId="15" state="hidden" r:id="rId2"/>
    <sheet name="PAGOS IMPORTACIONES" sheetId="17" r:id="rId3"/>
    <sheet name="RESUMENxSEMANA_IMP" sheetId="96" r:id="rId4"/>
    <sheet name="PROXIMOS 2" sheetId="16" state="hidden" r:id="rId5"/>
    <sheet name="PROXIMOS 3" sheetId="18" state="hidden" r:id="rId6"/>
    <sheet name="SEMANA 10 (2017)" sheetId="19" state="hidden" r:id="rId7"/>
    <sheet name="SEMANA 11 (2017)" sheetId="20" state="hidden" r:id="rId8"/>
    <sheet name="SEMANA 12 (2017)" sheetId="22" state="hidden" r:id="rId9"/>
    <sheet name="SEMANA 13 (2017)" sheetId="23" state="hidden" r:id="rId10"/>
    <sheet name="SEMANA 14 (2017)" sheetId="25" state="hidden" r:id="rId11"/>
    <sheet name="SEMANA 15 (2017)" sheetId="26" state="hidden" r:id="rId12"/>
    <sheet name="SEMANA 16 (2017)" sheetId="28" state="hidden" r:id="rId13"/>
    <sheet name="SEMANA 17 (2017)" sheetId="29" state="hidden" r:id="rId14"/>
    <sheet name="SEMANA 18 (2017)" sheetId="30" state="hidden" r:id="rId15"/>
    <sheet name="SEMANA 19 (2017)" sheetId="31" state="hidden" r:id="rId16"/>
    <sheet name="SEMANA 20 (2017)" sheetId="32" state="hidden" r:id="rId17"/>
    <sheet name="SEMANA 21 (2017)" sheetId="33" state="hidden" r:id="rId18"/>
    <sheet name="SEMANA 22 (2017)" sheetId="34" state="hidden" r:id="rId19"/>
    <sheet name="SEMANA 23 (2017)" sheetId="35" state="hidden" r:id="rId20"/>
    <sheet name="SEMANA 24 (2017)" sheetId="36" state="hidden" r:id="rId21"/>
    <sheet name="SEMANA 25 (2017)" sheetId="37" state="hidden" r:id="rId22"/>
    <sheet name="SEMANA 26 (2017)" sheetId="38" state="hidden" r:id="rId23"/>
    <sheet name="SEMANA 27 (2017)" sheetId="41" state="hidden" r:id="rId24"/>
    <sheet name="SEMANA 29 (2017)" sheetId="43" state="hidden" r:id="rId25"/>
    <sheet name="SEMANA 28 (2017)" sheetId="42" state="hidden" r:id="rId26"/>
    <sheet name="SEMANA 01 (2018)" sheetId="44" state="hidden" r:id="rId27"/>
    <sheet name="SEMANA 02 (2018)" sheetId="45" state="hidden" r:id="rId28"/>
    <sheet name="SEMANA 03 (2018)" sheetId="46" state="hidden" r:id="rId29"/>
    <sheet name="SEMANA 04 (2018)" sheetId="47" state="hidden" r:id="rId30"/>
    <sheet name="SEMANA 05 (2018)" sheetId="48" state="hidden" r:id="rId31"/>
    <sheet name="SEMANA 06 (2018)" sheetId="50" state="hidden" r:id="rId32"/>
    <sheet name="SEMANA 07 (2018)" sheetId="51" state="hidden" r:id="rId33"/>
    <sheet name="SEMANA 08 (2018)" sheetId="52" state="hidden" r:id="rId34"/>
    <sheet name="SEMANA 09 (2018)" sheetId="53" state="hidden" r:id="rId35"/>
    <sheet name="SEMANA 10 (2018)" sheetId="54" state="hidden" r:id="rId36"/>
    <sheet name="SEMANA 11 (2018)" sheetId="55" state="hidden" r:id="rId37"/>
    <sheet name="SEMANA 13 (2018)" sheetId="56" state="hidden" r:id="rId38"/>
    <sheet name="SEMANA 14 (2018)" sheetId="57" state="hidden" r:id="rId39"/>
    <sheet name="SEMANA 15 (2018)" sheetId="58" state="hidden" r:id="rId40"/>
    <sheet name="SEMANA 16 (2018)" sheetId="59" state="hidden" r:id="rId41"/>
    <sheet name="SEMANA 17 (2018)" sheetId="61" state="hidden" r:id="rId42"/>
    <sheet name="SEMANA 18 (2018)" sheetId="60" state="hidden" r:id="rId43"/>
    <sheet name="SEMANA 19 (2018)" sheetId="62" state="hidden" r:id="rId44"/>
    <sheet name="SEMANA 20 (2018)" sheetId="63" state="hidden" r:id="rId45"/>
    <sheet name="SEMANA 22 (2018)" sheetId="64" state="hidden" r:id="rId46"/>
    <sheet name="SEMANA 23 (2018)" sheetId="65" state="hidden" r:id="rId47"/>
    <sheet name="SEMANA 24 (2018)" sheetId="66" state="hidden" r:id="rId48"/>
    <sheet name="SEMANA 26 (2018)" sheetId="67" state="hidden" r:id="rId49"/>
    <sheet name="SEMANA 28 (2018)" sheetId="68" state="hidden" r:id="rId50"/>
    <sheet name="Hoja1" sheetId="49" state="hidden" r:id="rId51"/>
    <sheet name="SEMANA 29 (2018)" sheetId="69" state="hidden" r:id="rId52"/>
    <sheet name="SEMANA 30 (2018)" sheetId="70" state="hidden" r:id="rId53"/>
    <sheet name="SEMANA 31 (2018)" sheetId="71" state="hidden" r:id="rId54"/>
    <sheet name="SEMANA 32 (2018)" sheetId="72" state="hidden" r:id="rId55"/>
    <sheet name="SEMANA 33 (2018)" sheetId="73" state="hidden" r:id="rId56"/>
    <sheet name="SEMANA 34 (2018)" sheetId="75" state="hidden" r:id="rId57"/>
    <sheet name="SEMANA 36 (2018)" sheetId="76" state="hidden" r:id="rId58"/>
    <sheet name="SEMANA 38 (2018)" sheetId="77" state="hidden" r:id="rId59"/>
    <sheet name="SEMANA 39 (2018)" sheetId="78" state="hidden" r:id="rId60"/>
    <sheet name="SEMANA 40 (2018)" sheetId="79" state="hidden" r:id="rId61"/>
    <sheet name="SEMANA 42 (2018)" sheetId="82" state="hidden" r:id="rId62"/>
    <sheet name="SEMANA 43 (2018)" sheetId="83" state="hidden" r:id="rId63"/>
    <sheet name="SEMANA 44 (2018)" sheetId="84" state="hidden" r:id="rId64"/>
    <sheet name="SEMANA 45 (2018)" sheetId="85" state="hidden" r:id="rId65"/>
    <sheet name="SEMANA 46 (2018)" sheetId="86" state="hidden" r:id="rId66"/>
    <sheet name="SEMANA 47 (2018)" sheetId="87" state="hidden" r:id="rId67"/>
    <sheet name="SEMANA 48 (2018)" sheetId="88" state="hidden" r:id="rId68"/>
    <sheet name="HISTÓRICO PAGOS - IMPORT" sheetId="24" r:id="rId69"/>
    <sheet name="PAGOS COMPRAS LOCALES" sheetId="39" r:id="rId70"/>
    <sheet name="SEMANA 41 (2018)" sheetId="81" state="hidden" r:id="rId71"/>
    <sheet name="HISTÓRICO PAGOS - CL" sheetId="93" r:id="rId72"/>
    <sheet name="TF" sheetId="89" r:id="rId73"/>
    <sheet name="PROG. DUAS" sheetId="95" r:id="rId74"/>
    <sheet name="Hoja2" sheetId="97" r:id="rId75"/>
  </sheets>
  <externalReferences>
    <externalReference r:id="rId76"/>
    <externalReference r:id="rId77"/>
    <externalReference r:id="rId78"/>
    <externalReference r:id="rId79"/>
    <externalReference r:id="rId80"/>
  </externalReferences>
  <definedNames>
    <definedName name="_xlnm._FilterDatabase" localSheetId="71" hidden="1">'HISTÓRICO PAGOS - CL'!$A$1:$N$395</definedName>
    <definedName name="_xlnm._FilterDatabase" localSheetId="68" hidden="1">'HISTÓRICO PAGOS - IMPORT'!$A$1:$O$1313</definedName>
    <definedName name="_xlnm._FilterDatabase" localSheetId="69" hidden="1">'PAGOS COMPRAS LOCALES'!$A$1:$M$31</definedName>
    <definedName name="_xlnm._FilterDatabase" localSheetId="2" hidden="1">'PAGOS IMPORTACIONES'!$A$1:$S$110</definedName>
    <definedName name="_xlnm._FilterDatabase" localSheetId="73" hidden="1">'PROG. DUAS'!$A$1:$U$311</definedName>
    <definedName name="CANAL">#REF!</definedName>
    <definedName name="ESTADOdePAGO">#REF!</definedName>
    <definedName name="INCOTERMS" localSheetId="73">[1]BDD!$O$1:$O$11</definedName>
    <definedName name="INCOTERMS">#REF!</definedName>
    <definedName name="MATERIALES" localSheetId="73">[1]BDD!$C$1:$C$99</definedName>
    <definedName name="MATERIALES">#REF!</definedName>
    <definedName name="NAVIERA">#REF!</definedName>
    <definedName name="NEGOCIO">#REF!</definedName>
    <definedName name="PLAZOdePAGO">#REF!</definedName>
    <definedName name="PLAZOdePAGO2">#REF!</definedName>
    <definedName name="PRESENTACIÓN">#REF!</definedName>
    <definedName name="PROVEEDORES" localSheetId="73">[1]BDD!$A$1:$A$101</definedName>
    <definedName name="PROVEEDORES">#REF!</definedName>
    <definedName name="PTOdeENTRADA" localSheetId="73">[1]BDD!$S$1:$S$6</definedName>
    <definedName name="PTOdeENTRADA">#REF!</definedName>
    <definedName name="PTOdeSALIDA">#REF!</definedName>
    <definedName name="RÉGIMEN">#REF!</definedName>
    <definedName name="SEGUIMIENTO">#REF!</definedName>
    <definedName name="STATUSdocs">#REF!</definedName>
    <definedName name="TIPOdeCARGA">#REF!</definedName>
    <definedName name="TIPOdeDESPACHO">#REF!</definedName>
  </definedNames>
  <calcPr calcId="145621"/>
  <pivotCaches>
    <pivotCache cacheId="0" r:id="rId8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" i="17" l="1"/>
  <c r="J35" i="17" s="1"/>
  <c r="N35" i="17"/>
  <c r="I35" i="17" l="1"/>
  <c r="G35" i="17"/>
  <c r="K108" i="17"/>
  <c r="G108" i="17" s="1"/>
  <c r="K110" i="17"/>
  <c r="I110" i="17" s="1"/>
  <c r="K109" i="17"/>
  <c r="G109" i="17" s="1"/>
  <c r="K107" i="17"/>
  <c r="J107" i="17" s="1"/>
  <c r="N107" i="17"/>
  <c r="N108" i="17"/>
  <c r="N109" i="17"/>
  <c r="N110" i="17"/>
  <c r="J110" i="17" l="1"/>
  <c r="J108" i="17"/>
  <c r="J109" i="17"/>
  <c r="I108" i="17"/>
  <c r="I107" i="17"/>
  <c r="G110" i="17"/>
  <c r="I109" i="17"/>
  <c r="G107" i="17"/>
  <c r="N103" i="17" l="1"/>
  <c r="N104" i="17"/>
  <c r="G20" i="97" l="1"/>
  <c r="I19" i="97"/>
  <c r="F19" i="97"/>
  <c r="F18" i="97"/>
  <c r="G18" i="97" s="1"/>
  <c r="H18" i="97" l="1"/>
  <c r="F20" i="97"/>
  <c r="J22" i="97" l="1"/>
  <c r="L21" i="97"/>
  <c r="L10" i="97" l="1"/>
  <c r="J11" i="97"/>
  <c r="J8" i="97"/>
  <c r="I8" i="97"/>
  <c r="H7" i="97"/>
  <c r="G8" i="97"/>
  <c r="G7" i="97"/>
  <c r="F8" i="97"/>
  <c r="F7" i="97"/>
  <c r="H8" i="97" s="1"/>
  <c r="K104" i="17"/>
  <c r="F9" i="97" l="1"/>
  <c r="G303" i="95"/>
  <c r="G304" i="95"/>
  <c r="K106" i="17" l="1"/>
  <c r="G106" i="17" s="1"/>
  <c r="K105" i="17"/>
  <c r="J105" i="17" s="1"/>
  <c r="N106" i="17"/>
  <c r="N105" i="17"/>
  <c r="I104" i="17"/>
  <c r="J106" i="17" l="1"/>
  <c r="I106" i="17"/>
  <c r="G104" i="17"/>
  <c r="G105" i="17"/>
  <c r="I105" i="17"/>
  <c r="J104" i="17"/>
  <c r="J1315" i="24" l="1"/>
  <c r="K74" i="17"/>
  <c r="K31" i="39" l="1"/>
  <c r="H31" i="39"/>
  <c r="K30" i="39"/>
  <c r="H30" i="39"/>
  <c r="K29" i="39"/>
  <c r="H29" i="39"/>
  <c r="K28" i="39"/>
  <c r="H28" i="39"/>
  <c r="K27" i="39"/>
  <c r="H27" i="39"/>
  <c r="K25" i="39"/>
  <c r="K26" i="39"/>
  <c r="K24" i="39"/>
  <c r="H25" i="39"/>
  <c r="H26" i="39"/>
  <c r="H24" i="39"/>
  <c r="K19" i="39"/>
  <c r="K20" i="39"/>
  <c r="K21" i="39"/>
  <c r="K22" i="39"/>
  <c r="K23" i="39"/>
  <c r="K18" i="39"/>
  <c r="H18" i="39"/>
  <c r="H19" i="39"/>
  <c r="H20" i="39"/>
  <c r="H21" i="39"/>
  <c r="H22" i="39"/>
  <c r="H23" i="39"/>
  <c r="H422" i="93"/>
  <c r="K422" i="93"/>
  <c r="H419" i="93"/>
  <c r="K419" i="93"/>
  <c r="H420" i="93"/>
  <c r="K420" i="93"/>
  <c r="H421" i="93"/>
  <c r="K421" i="93"/>
  <c r="H417" i="93" l="1"/>
  <c r="K417" i="93"/>
  <c r="H418" i="93"/>
  <c r="K418" i="93"/>
  <c r="H416" i="93"/>
  <c r="K416" i="93"/>
  <c r="K415" i="93" l="1"/>
  <c r="H415" i="93"/>
  <c r="K303" i="95" l="1"/>
  <c r="L303" i="95" s="1"/>
  <c r="K304" i="95"/>
  <c r="L304" i="95" s="1"/>
  <c r="M304" i="95" s="1"/>
  <c r="K305" i="95"/>
  <c r="L305" i="95" s="1"/>
  <c r="M305" i="95" s="1"/>
  <c r="K306" i="95"/>
  <c r="L306" i="95" s="1"/>
  <c r="M306" i="95" s="1"/>
  <c r="K307" i="95"/>
  <c r="L307" i="95" s="1"/>
  <c r="M307" i="95" s="1"/>
  <c r="K308" i="95"/>
  <c r="L308" i="95" s="1"/>
  <c r="M308" i="95" s="1"/>
  <c r="K309" i="95"/>
  <c r="L309" i="95" s="1"/>
  <c r="K310" i="95"/>
  <c r="L310" i="95" s="1"/>
  <c r="M310" i="95" s="1"/>
  <c r="K311" i="95"/>
  <c r="L311" i="95" s="1"/>
  <c r="M311" i="95" s="1"/>
  <c r="G305" i="95"/>
  <c r="G306" i="95"/>
  <c r="G307" i="95"/>
  <c r="G308" i="95"/>
  <c r="G309" i="95"/>
  <c r="G310" i="95"/>
  <c r="G311" i="95"/>
  <c r="N306" i="95" l="1"/>
  <c r="O306" i="95"/>
  <c r="M303" i="95"/>
  <c r="M309" i="95"/>
  <c r="N304" i="95"/>
  <c r="O304" i="95"/>
  <c r="N311" i="95"/>
  <c r="O311" i="95"/>
  <c r="N308" i="95"/>
  <c r="O308" i="95"/>
  <c r="N307" i="95"/>
  <c r="O307" i="95"/>
  <c r="N310" i="95"/>
  <c r="O310" i="95"/>
  <c r="N305" i="95"/>
  <c r="O305" i="95"/>
  <c r="K67" i="17"/>
  <c r="N10" i="17"/>
  <c r="K10" i="17"/>
  <c r="I10" i="17" s="1"/>
  <c r="N9" i="17"/>
  <c r="K9" i="17"/>
  <c r="J9" i="17" s="1"/>
  <c r="N8" i="17"/>
  <c r="K8" i="17"/>
  <c r="I8" i="17" s="1"/>
  <c r="J1313" i="24"/>
  <c r="J1300" i="24"/>
  <c r="K103" i="17"/>
  <c r="J103" i="17" s="1"/>
  <c r="P308" i="95" l="1"/>
  <c r="Q308" i="95" s="1"/>
  <c r="S308" i="95" s="1"/>
  <c r="P310" i="95"/>
  <c r="Q310" i="95" s="1"/>
  <c r="S310" i="95" s="1"/>
  <c r="P307" i="95"/>
  <c r="Q307" i="95" s="1"/>
  <c r="S307" i="95" s="1"/>
  <c r="P311" i="95"/>
  <c r="Q311" i="95" s="1"/>
  <c r="S311" i="95" s="1"/>
  <c r="P306" i="95"/>
  <c r="Q306" i="95" s="1"/>
  <c r="S306" i="95" s="1"/>
  <c r="P305" i="95"/>
  <c r="Q305" i="95" s="1"/>
  <c r="S305" i="95" s="1"/>
  <c r="N303" i="95"/>
  <c r="O303" i="95"/>
  <c r="P304" i="95"/>
  <c r="Q304" i="95" s="1"/>
  <c r="S304" i="95" s="1"/>
  <c r="O309" i="95"/>
  <c r="N309" i="95"/>
  <c r="G8" i="17"/>
  <c r="J8" i="17"/>
  <c r="J10" i="17"/>
  <c r="I9" i="17"/>
  <c r="G10" i="17"/>
  <c r="G9" i="17"/>
  <c r="G103" i="17"/>
  <c r="I103" i="17"/>
  <c r="P309" i="95" l="1"/>
  <c r="Q309" i="95" s="1"/>
  <c r="S309" i="95" s="1"/>
  <c r="P303" i="95"/>
  <c r="Q303" i="95" s="1"/>
  <c r="S303" i="95" s="1"/>
  <c r="K80" i="17"/>
  <c r="N102" i="17"/>
  <c r="N20" i="17"/>
  <c r="K20" i="17"/>
  <c r="I20" i="17" s="1"/>
  <c r="N19" i="17"/>
  <c r="K19" i="17"/>
  <c r="J19" i="17" s="1"/>
  <c r="J20" i="17" l="1"/>
  <c r="G20" i="17"/>
  <c r="G19" i="17"/>
  <c r="I19" i="17"/>
  <c r="K102" i="17"/>
  <c r="J102" i="17" s="1"/>
  <c r="N97" i="17"/>
  <c r="N98" i="17"/>
  <c r="N99" i="17"/>
  <c r="N100" i="17"/>
  <c r="N101" i="17"/>
  <c r="N58" i="17"/>
  <c r="K58" i="17"/>
  <c r="J58" i="17" s="1"/>
  <c r="N56" i="17"/>
  <c r="K56" i="17"/>
  <c r="J56" i="17" s="1"/>
  <c r="N49" i="17"/>
  <c r="I49" i="17"/>
  <c r="N30" i="17"/>
  <c r="I30" i="17"/>
  <c r="J49" i="17" l="1"/>
  <c r="G102" i="17"/>
  <c r="I102" i="17"/>
  <c r="G56" i="17"/>
  <c r="I56" i="17"/>
  <c r="G58" i="17"/>
  <c r="I58" i="17"/>
  <c r="G49" i="17"/>
  <c r="J30" i="17"/>
  <c r="G30" i="17"/>
  <c r="J1294" i="24" l="1"/>
  <c r="G1294" i="24"/>
  <c r="K51" i="17" l="1"/>
  <c r="K14" i="39" l="1"/>
  <c r="H14" i="39"/>
  <c r="K13" i="39"/>
  <c r="H13" i="39"/>
  <c r="K12" i="39"/>
  <c r="H12" i="39"/>
  <c r="H11" i="39"/>
  <c r="H15" i="39"/>
  <c r="H16" i="39"/>
  <c r="H17" i="39"/>
  <c r="K17" i="39"/>
  <c r="K11" i="39"/>
  <c r="K15" i="39"/>
  <c r="K16" i="39"/>
  <c r="N29" i="17"/>
  <c r="G29" i="17"/>
  <c r="N28" i="17"/>
  <c r="G28" i="17"/>
  <c r="N26" i="17"/>
  <c r="I26" i="17"/>
  <c r="K50" i="17"/>
  <c r="J28" i="17" l="1"/>
  <c r="I29" i="17"/>
  <c r="J26" i="17"/>
  <c r="J29" i="17"/>
  <c r="I28" i="17"/>
  <c r="G26" i="17"/>
  <c r="H414" i="93"/>
  <c r="K414" i="93"/>
  <c r="H413" i="93"/>
  <c r="H412" i="93"/>
  <c r="H411" i="93"/>
  <c r="K411" i="93"/>
  <c r="K412" i="93"/>
  <c r="K413" i="93"/>
  <c r="H410" i="93"/>
  <c r="K410" i="93"/>
  <c r="H409" i="93"/>
  <c r="K409" i="93"/>
  <c r="K3" i="39"/>
  <c r="K4" i="39"/>
  <c r="K5" i="39"/>
  <c r="K6" i="39"/>
  <c r="K7" i="39"/>
  <c r="K8" i="39"/>
  <c r="K9" i="39"/>
  <c r="K10" i="39"/>
  <c r="H3" i="39"/>
  <c r="H4" i="39"/>
  <c r="H5" i="39"/>
  <c r="H6" i="39"/>
  <c r="H7" i="39"/>
  <c r="H8" i="39"/>
  <c r="H9" i="39"/>
  <c r="H10" i="39"/>
  <c r="H408" i="93"/>
  <c r="K408" i="93"/>
  <c r="H406" i="93"/>
  <c r="K406" i="93"/>
  <c r="H407" i="93"/>
  <c r="K407" i="93"/>
  <c r="K78" i="17"/>
  <c r="K77" i="17"/>
  <c r="K76" i="17"/>
  <c r="K75" i="17"/>
  <c r="K100" i="17" l="1"/>
  <c r="G100" i="17" s="1"/>
  <c r="K101" i="17"/>
  <c r="G101" i="17" s="1"/>
  <c r="N23" i="17"/>
  <c r="I23" i="17"/>
  <c r="J101" i="17" l="1"/>
  <c r="I101" i="17"/>
  <c r="I100" i="17"/>
  <c r="J23" i="17"/>
  <c r="J100" i="17"/>
  <c r="G23" i="17"/>
  <c r="N27" i="17" l="1"/>
  <c r="I27" i="17"/>
  <c r="N25" i="17"/>
  <c r="G25" i="17"/>
  <c r="K98" i="17"/>
  <c r="J98" i="17" s="1"/>
  <c r="N95" i="17"/>
  <c r="K95" i="17"/>
  <c r="I95" i="17" s="1"/>
  <c r="N94" i="17"/>
  <c r="K94" i="17"/>
  <c r="G94" i="17" s="1"/>
  <c r="N91" i="17"/>
  <c r="K91" i="17"/>
  <c r="I91" i="17" s="1"/>
  <c r="K88" i="17"/>
  <c r="G88" i="17" s="1"/>
  <c r="K86" i="17"/>
  <c r="I86" i="17" s="1"/>
  <c r="N86" i="17"/>
  <c r="N87" i="17"/>
  <c r="N88" i="17"/>
  <c r="N89" i="17"/>
  <c r="N90" i="17"/>
  <c r="N92" i="17"/>
  <c r="G50" i="17"/>
  <c r="K53" i="17"/>
  <c r="G53" i="17" s="1"/>
  <c r="K52" i="17"/>
  <c r="G52" i="17" s="1"/>
  <c r="K38" i="17"/>
  <c r="G38" i="17" s="1"/>
  <c r="N13" i="17"/>
  <c r="K13" i="17"/>
  <c r="I13" i="17" s="1"/>
  <c r="J1272" i="24"/>
  <c r="J1271" i="24"/>
  <c r="J1269" i="24"/>
  <c r="J1268" i="24"/>
  <c r="J1267" i="24"/>
  <c r="J1266" i="24"/>
  <c r="J1265" i="24"/>
  <c r="J27" i="17" l="1"/>
  <c r="J86" i="17"/>
  <c r="I25" i="17"/>
  <c r="J25" i="17"/>
  <c r="G27" i="17"/>
  <c r="J88" i="17"/>
  <c r="J95" i="17"/>
  <c r="G13" i="17"/>
  <c r="J13" i="17"/>
  <c r="G98" i="17"/>
  <c r="I94" i="17"/>
  <c r="J94" i="17"/>
  <c r="I98" i="17"/>
  <c r="G95" i="17"/>
  <c r="J91" i="17"/>
  <c r="G91" i="17"/>
  <c r="I88" i="17"/>
  <c r="G86" i="17"/>
  <c r="K300" i="95" l="1"/>
  <c r="L300" i="95" s="1"/>
  <c r="K301" i="95"/>
  <c r="L301" i="95" s="1"/>
  <c r="K302" i="95"/>
  <c r="L302" i="95" s="1"/>
  <c r="G300" i="95"/>
  <c r="G301" i="95"/>
  <c r="G302" i="95"/>
  <c r="M302" i="95" l="1"/>
  <c r="N302" i="95" s="1"/>
  <c r="M300" i="95"/>
  <c r="N300" i="95" s="1"/>
  <c r="M301" i="95"/>
  <c r="G36" i="17"/>
  <c r="O302" i="95" l="1"/>
  <c r="P302" i="95" s="1"/>
  <c r="O300" i="95"/>
  <c r="P300" i="95" s="1"/>
  <c r="O301" i="95"/>
  <c r="N301" i="95"/>
  <c r="K59" i="17"/>
  <c r="N24" i="17"/>
  <c r="K99" i="17"/>
  <c r="G99" i="17" s="1"/>
  <c r="K97" i="17"/>
  <c r="K96" i="17"/>
  <c r="K93" i="17"/>
  <c r="G93" i="17" s="1"/>
  <c r="K92" i="17"/>
  <c r="G92" i="17" s="1"/>
  <c r="K90" i="17"/>
  <c r="K89" i="17"/>
  <c r="K87" i="17"/>
  <c r="K85" i="17"/>
  <c r="K79" i="17"/>
  <c r="K81" i="17"/>
  <c r="K82" i="17"/>
  <c r="G82" i="17" s="1"/>
  <c r="K83" i="17"/>
  <c r="K84" i="17"/>
  <c r="N79" i="17"/>
  <c r="N80" i="17"/>
  <c r="N81" i="17"/>
  <c r="N82" i="17"/>
  <c r="N83" i="17"/>
  <c r="N84" i="17"/>
  <c r="N85" i="17"/>
  <c r="N93" i="17"/>
  <c r="N96" i="17"/>
  <c r="N4" i="17"/>
  <c r="G24" i="17" l="1"/>
  <c r="I24" i="17"/>
  <c r="J24" i="17"/>
  <c r="G84" i="17"/>
  <c r="I84" i="17"/>
  <c r="G83" i="17"/>
  <c r="I83" i="17"/>
  <c r="J80" i="17"/>
  <c r="G80" i="17"/>
  <c r="I79" i="17"/>
  <c r="G79" i="17"/>
  <c r="J96" i="17"/>
  <c r="G96" i="17"/>
  <c r="G90" i="17"/>
  <c r="J90" i="17"/>
  <c r="I81" i="17"/>
  <c r="G81" i="17"/>
  <c r="J97" i="17"/>
  <c r="G97" i="17"/>
  <c r="G89" i="17"/>
  <c r="J89" i="17"/>
  <c r="I85" i="17"/>
  <c r="G85" i="17"/>
  <c r="J87" i="17"/>
  <c r="I87" i="17"/>
  <c r="G87" i="17"/>
  <c r="Q300" i="95"/>
  <c r="S300" i="95" s="1"/>
  <c r="P301" i="95"/>
  <c r="Q301" i="95" s="1"/>
  <c r="S301" i="95" s="1"/>
  <c r="Q302" i="95"/>
  <c r="S302" i="95" s="1"/>
  <c r="I97" i="17"/>
  <c r="I96" i="17"/>
  <c r="J81" i="17"/>
  <c r="I93" i="17"/>
  <c r="J85" i="17"/>
  <c r="J93" i="17"/>
  <c r="J99" i="17"/>
  <c r="I99" i="17"/>
  <c r="I80" i="17"/>
  <c r="I90" i="17"/>
  <c r="J79" i="17"/>
  <c r="J82" i="17"/>
  <c r="I82" i="17"/>
  <c r="J84" i="17"/>
  <c r="J83" i="17"/>
  <c r="I89" i="17"/>
  <c r="J92" i="17"/>
  <c r="I92" i="17"/>
  <c r="N73" i="17"/>
  <c r="N74" i="17"/>
  <c r="N75" i="17"/>
  <c r="N76" i="17"/>
  <c r="N77" i="17"/>
  <c r="N78" i="17"/>
  <c r="G74" i="17"/>
  <c r="G78" i="17"/>
  <c r="G77" i="17"/>
  <c r="G76" i="17"/>
  <c r="G75" i="17"/>
  <c r="G73" i="17"/>
  <c r="J75" i="17" l="1"/>
  <c r="I75" i="17"/>
  <c r="J76" i="17"/>
  <c r="I76" i="17"/>
  <c r="I77" i="17"/>
  <c r="J77" i="17"/>
  <c r="J78" i="17"/>
  <c r="I78" i="17"/>
  <c r="I73" i="17"/>
  <c r="J73" i="17"/>
  <c r="I74" i="17"/>
  <c r="J74" i="17"/>
  <c r="H405" i="93" l="1"/>
  <c r="K405" i="93"/>
  <c r="J1241" i="24" l="1"/>
  <c r="J1240" i="24"/>
  <c r="K299" i="95" l="1"/>
  <c r="L299" i="95" s="1"/>
  <c r="G299" i="95"/>
  <c r="M299" i="95" l="1"/>
  <c r="N299" i="95" l="1"/>
  <c r="O299" i="95"/>
  <c r="G67" i="17"/>
  <c r="G66" i="17"/>
  <c r="K65" i="17"/>
  <c r="G65" i="17" s="1"/>
  <c r="P299" i="95" l="1"/>
  <c r="Q299" i="95" s="1"/>
  <c r="S299" i="95" s="1"/>
  <c r="K68" i="17"/>
  <c r="G68" i="17" s="1"/>
  <c r="K72" i="17"/>
  <c r="G72" i="17" s="1"/>
  <c r="K70" i="17"/>
  <c r="K69" i="17"/>
  <c r="G69" i="17" s="1"/>
  <c r="K71" i="17"/>
  <c r="G71" i="17" s="1"/>
  <c r="G64" i="17"/>
  <c r="N64" i="17"/>
  <c r="N65" i="17"/>
  <c r="N66" i="17"/>
  <c r="N67" i="17"/>
  <c r="N68" i="17"/>
  <c r="N69" i="17"/>
  <c r="N70" i="17"/>
  <c r="N71" i="17"/>
  <c r="N72" i="17"/>
  <c r="I65" i="17"/>
  <c r="J65" i="17"/>
  <c r="I66" i="17"/>
  <c r="J66" i="17"/>
  <c r="I67" i="17"/>
  <c r="J67" i="17"/>
  <c r="I70" i="17" l="1"/>
  <c r="G70" i="17"/>
  <c r="J71" i="17"/>
  <c r="J68" i="17"/>
  <c r="J69" i="17"/>
  <c r="I69" i="17"/>
  <c r="J72" i="17"/>
  <c r="J64" i="17"/>
  <c r="I72" i="17"/>
  <c r="J70" i="17"/>
  <c r="I68" i="17"/>
  <c r="I71" i="17"/>
  <c r="I64" i="17"/>
  <c r="J1243" i="24" l="1"/>
  <c r="J1242" i="24" s="1"/>
  <c r="K2" i="39" l="1"/>
  <c r="H2" i="39"/>
  <c r="K298" i="95" l="1"/>
  <c r="L298" i="95" s="1"/>
  <c r="M298" i="95" s="1"/>
  <c r="G298" i="95"/>
  <c r="K297" i="95"/>
  <c r="G297" i="95"/>
  <c r="K296" i="95"/>
  <c r="G296" i="95"/>
  <c r="K295" i="95"/>
  <c r="G295" i="95"/>
  <c r="K294" i="95"/>
  <c r="G294" i="95"/>
  <c r="N298" i="95" l="1"/>
  <c r="O298" i="95"/>
  <c r="L294" i="95"/>
  <c r="M294" i="95" s="1"/>
  <c r="L295" i="95"/>
  <c r="M295" i="95" s="1"/>
  <c r="L296" i="95"/>
  <c r="M296" i="95" s="1"/>
  <c r="L297" i="95"/>
  <c r="M297" i="95" s="1"/>
  <c r="K63" i="17"/>
  <c r="K62" i="17"/>
  <c r="G62" i="17" s="1"/>
  <c r="K61" i="17"/>
  <c r="K60" i="17"/>
  <c r="N60" i="17"/>
  <c r="N61" i="17"/>
  <c r="N62" i="17"/>
  <c r="N63" i="17"/>
  <c r="N47" i="17"/>
  <c r="K47" i="17"/>
  <c r="G47" i="17" s="1"/>
  <c r="I63" i="17" l="1"/>
  <c r="G63" i="17"/>
  <c r="J60" i="17"/>
  <c r="G60" i="17"/>
  <c r="I61" i="17"/>
  <c r="G61" i="17"/>
  <c r="P298" i="95"/>
  <c r="Q298" i="95" s="1"/>
  <c r="S298" i="95" s="1"/>
  <c r="O297" i="95"/>
  <c r="N297" i="95"/>
  <c r="O296" i="95"/>
  <c r="N296" i="95"/>
  <c r="O295" i="95"/>
  <c r="N295" i="95"/>
  <c r="O294" i="95"/>
  <c r="N294" i="95"/>
  <c r="J47" i="17"/>
  <c r="J61" i="17"/>
  <c r="J63" i="17"/>
  <c r="J62" i="17"/>
  <c r="I62" i="17"/>
  <c r="I60" i="17"/>
  <c r="I47" i="17"/>
  <c r="P294" i="95" l="1"/>
  <c r="Q294" i="95" s="1"/>
  <c r="S294" i="95" s="1"/>
  <c r="P297" i="95"/>
  <c r="Q297" i="95" s="1"/>
  <c r="S297" i="95" s="1"/>
  <c r="P295" i="95"/>
  <c r="Q295" i="95" s="1"/>
  <c r="S295" i="95" s="1"/>
  <c r="P296" i="95"/>
  <c r="Q296" i="95" s="1"/>
  <c r="S296" i="95" s="1"/>
  <c r="H404" i="93" l="1"/>
  <c r="K404" i="93"/>
  <c r="H403" i="93" l="1"/>
  <c r="K403" i="93"/>
  <c r="H402" i="93"/>
  <c r="K402" i="93"/>
  <c r="H401" i="93"/>
  <c r="K401" i="93"/>
  <c r="H400" i="93" l="1"/>
  <c r="K400" i="93"/>
  <c r="H399" i="93"/>
  <c r="K399" i="93"/>
  <c r="H398" i="93"/>
  <c r="K398" i="93"/>
  <c r="H397" i="93"/>
  <c r="K397" i="93"/>
  <c r="K396" i="93"/>
  <c r="H396" i="93"/>
  <c r="I59" i="17" l="1"/>
  <c r="N59" i="17"/>
  <c r="G59" i="17" l="1"/>
  <c r="J59" i="17"/>
  <c r="G51" i="17" l="1"/>
  <c r="H395" i="93" l="1"/>
  <c r="K395" i="93"/>
  <c r="H394" i="93" l="1"/>
  <c r="K394" i="93"/>
  <c r="K393" i="93" l="1"/>
  <c r="H393" i="93"/>
  <c r="K57" i="17" l="1"/>
  <c r="G57" i="17" s="1"/>
  <c r="I52" i="17"/>
  <c r="J50" i="17"/>
  <c r="N48" i="17"/>
  <c r="N50" i="17"/>
  <c r="N51" i="17"/>
  <c r="N52" i="17"/>
  <c r="N53" i="17"/>
  <c r="N54" i="17"/>
  <c r="N55" i="17"/>
  <c r="N57" i="17"/>
  <c r="K48" i="17"/>
  <c r="I48" i="17" s="1"/>
  <c r="K54" i="17"/>
  <c r="G54" i="17" s="1"/>
  <c r="K55" i="17"/>
  <c r="G55" i="17" s="1"/>
  <c r="J57" i="17" l="1"/>
  <c r="I57" i="17"/>
  <c r="J53" i="17"/>
  <c r="I53" i="17"/>
  <c r="J52" i="17"/>
  <c r="J55" i="17"/>
  <c r="I55" i="17"/>
  <c r="J54" i="17"/>
  <c r="I54" i="17"/>
  <c r="I50" i="17"/>
  <c r="J51" i="17"/>
  <c r="I51" i="17"/>
  <c r="J48" i="17"/>
  <c r="G48" i="17"/>
  <c r="J1204" i="24" l="1"/>
  <c r="H371" i="93" l="1"/>
  <c r="H372" i="93"/>
  <c r="H373" i="93"/>
  <c r="H374" i="93"/>
  <c r="H375" i="93"/>
  <c r="H376" i="93"/>
  <c r="H377" i="93"/>
  <c r="H378" i="93"/>
  <c r="H379" i="93"/>
  <c r="H380" i="93"/>
  <c r="H381" i="93"/>
  <c r="H382" i="93"/>
  <c r="H383" i="93"/>
  <c r="H384" i="93"/>
  <c r="H385" i="93"/>
  <c r="H386" i="93"/>
  <c r="H387" i="93"/>
  <c r="H388" i="93"/>
  <c r="H389" i="93"/>
  <c r="H390" i="93"/>
  <c r="H391" i="93"/>
  <c r="H392" i="93"/>
  <c r="K392" i="93"/>
  <c r="K391" i="93" l="1"/>
  <c r="K390" i="93"/>
  <c r="K389" i="93"/>
  <c r="K388" i="93"/>
  <c r="K385" i="93"/>
  <c r="K386" i="93"/>
  <c r="K387" i="93"/>
  <c r="K384" i="93" l="1"/>
  <c r="J1187" i="24" l="1"/>
  <c r="K34" i="17"/>
  <c r="K46" i="17" l="1"/>
  <c r="G46" i="17" s="1"/>
  <c r="N46" i="17"/>
  <c r="K45" i="17"/>
  <c r="K44" i="17"/>
  <c r="G44" i="17" s="1"/>
  <c r="K43" i="17"/>
  <c r="G43" i="17" s="1"/>
  <c r="N44" i="17"/>
  <c r="N45" i="17"/>
  <c r="I45" i="17" l="1"/>
  <c r="G45" i="17"/>
  <c r="I44" i="17"/>
  <c r="J44" i="17"/>
  <c r="J45" i="17"/>
  <c r="J46" i="17"/>
  <c r="J43" i="17"/>
  <c r="I46" i="17"/>
  <c r="I43" i="17"/>
  <c r="K383" i="93" l="1"/>
  <c r="K382" i="93"/>
  <c r="K381" i="93"/>
  <c r="K378" i="93"/>
  <c r="K379" i="93"/>
  <c r="K380" i="93"/>
  <c r="N41" i="17" l="1"/>
  <c r="N42" i="17"/>
  <c r="K42" i="17"/>
  <c r="G42" i="17" s="1"/>
  <c r="K41" i="17"/>
  <c r="I41" i="17" s="1"/>
  <c r="J1178" i="24"/>
  <c r="J41" i="17" l="1"/>
  <c r="I42" i="17"/>
  <c r="J42" i="17"/>
  <c r="G41" i="17"/>
  <c r="K377" i="93" l="1"/>
  <c r="K376" i="93" l="1"/>
  <c r="C287" i="95" l="1"/>
  <c r="D287" i="95"/>
  <c r="E287" i="95"/>
  <c r="F287" i="95"/>
  <c r="G287" i="95" s="1"/>
  <c r="H287" i="95"/>
  <c r="I287" i="95"/>
  <c r="J287" i="95"/>
  <c r="C288" i="95"/>
  <c r="D288" i="95"/>
  <c r="E288" i="95"/>
  <c r="F288" i="95"/>
  <c r="G288" i="95" s="1"/>
  <c r="H288" i="95"/>
  <c r="I288" i="95"/>
  <c r="J288" i="95"/>
  <c r="C289" i="95"/>
  <c r="D289" i="95"/>
  <c r="E289" i="95"/>
  <c r="F289" i="95"/>
  <c r="G289" i="95" s="1"/>
  <c r="H289" i="95"/>
  <c r="I289" i="95"/>
  <c r="J289" i="95"/>
  <c r="C290" i="95"/>
  <c r="D290" i="95"/>
  <c r="E290" i="95"/>
  <c r="F290" i="95"/>
  <c r="G290" i="95" s="1"/>
  <c r="H290" i="95"/>
  <c r="I290" i="95"/>
  <c r="J290" i="95"/>
  <c r="C291" i="95"/>
  <c r="D291" i="95"/>
  <c r="E291" i="95"/>
  <c r="F291" i="95"/>
  <c r="G291" i="95" s="1"/>
  <c r="H291" i="95"/>
  <c r="I291" i="95"/>
  <c r="J291" i="95"/>
  <c r="C292" i="95"/>
  <c r="D292" i="95"/>
  <c r="E292" i="95"/>
  <c r="F292" i="95"/>
  <c r="G292" i="95" s="1"/>
  <c r="H292" i="95"/>
  <c r="I292" i="95"/>
  <c r="J292" i="95"/>
  <c r="C293" i="95"/>
  <c r="D293" i="95"/>
  <c r="E293" i="95"/>
  <c r="F293" i="95"/>
  <c r="G293" i="95" s="1"/>
  <c r="H293" i="95"/>
  <c r="I293" i="95"/>
  <c r="J293" i="95"/>
  <c r="F2" i="95"/>
  <c r="G2" i="95" s="1"/>
  <c r="H2" i="95"/>
  <c r="I2" i="95"/>
  <c r="J2" i="95"/>
  <c r="F3" i="95"/>
  <c r="G3" i="95" s="1"/>
  <c r="H3" i="95"/>
  <c r="I3" i="95"/>
  <c r="J3" i="95"/>
  <c r="F4" i="95"/>
  <c r="G4" i="95" s="1"/>
  <c r="H4" i="95"/>
  <c r="I4" i="95"/>
  <c r="J4" i="95"/>
  <c r="F5" i="95"/>
  <c r="G5" i="95" s="1"/>
  <c r="H5" i="95"/>
  <c r="I5" i="95"/>
  <c r="J5" i="95"/>
  <c r="F6" i="95"/>
  <c r="G6" i="95" s="1"/>
  <c r="H6" i="95"/>
  <c r="I6" i="95"/>
  <c r="J6" i="95"/>
  <c r="F7" i="95"/>
  <c r="G7" i="95" s="1"/>
  <c r="H7" i="95"/>
  <c r="I7" i="95"/>
  <c r="J7" i="95"/>
  <c r="F8" i="95"/>
  <c r="G8" i="95" s="1"/>
  <c r="H8" i="95"/>
  <c r="I8" i="95"/>
  <c r="J8" i="95"/>
  <c r="F9" i="95"/>
  <c r="G9" i="95" s="1"/>
  <c r="H9" i="95"/>
  <c r="I9" i="95"/>
  <c r="J9" i="95"/>
  <c r="F10" i="95"/>
  <c r="G10" i="95" s="1"/>
  <c r="H10" i="95"/>
  <c r="I10" i="95"/>
  <c r="J10" i="95"/>
  <c r="F11" i="95"/>
  <c r="G11" i="95" s="1"/>
  <c r="H11" i="95"/>
  <c r="I11" i="95"/>
  <c r="J11" i="95"/>
  <c r="F12" i="95"/>
  <c r="G12" i="95" s="1"/>
  <c r="H12" i="95"/>
  <c r="I12" i="95"/>
  <c r="J12" i="95"/>
  <c r="F13" i="95"/>
  <c r="G13" i="95" s="1"/>
  <c r="H13" i="95"/>
  <c r="I13" i="95"/>
  <c r="J13" i="95"/>
  <c r="F14" i="95"/>
  <c r="G14" i="95" s="1"/>
  <c r="H14" i="95"/>
  <c r="I14" i="95"/>
  <c r="J14" i="95"/>
  <c r="F15" i="95"/>
  <c r="G15" i="95" s="1"/>
  <c r="H15" i="95"/>
  <c r="I15" i="95"/>
  <c r="J15" i="95"/>
  <c r="F16" i="95"/>
  <c r="G16" i="95" s="1"/>
  <c r="H16" i="95"/>
  <c r="I16" i="95"/>
  <c r="J16" i="95"/>
  <c r="F17" i="95"/>
  <c r="G17" i="95" s="1"/>
  <c r="H17" i="95"/>
  <c r="I17" i="95"/>
  <c r="J17" i="95"/>
  <c r="F18" i="95"/>
  <c r="G18" i="95" s="1"/>
  <c r="H18" i="95"/>
  <c r="I18" i="95"/>
  <c r="J18" i="95"/>
  <c r="F19" i="95"/>
  <c r="G19" i="95" s="1"/>
  <c r="H19" i="95"/>
  <c r="I19" i="95"/>
  <c r="J19" i="95"/>
  <c r="F20" i="95"/>
  <c r="G20" i="95" s="1"/>
  <c r="H20" i="95"/>
  <c r="I20" i="95"/>
  <c r="J20" i="95"/>
  <c r="F21" i="95"/>
  <c r="G21" i="95" s="1"/>
  <c r="H21" i="95"/>
  <c r="I21" i="95"/>
  <c r="J21" i="95"/>
  <c r="F22" i="95"/>
  <c r="G22" i="95" s="1"/>
  <c r="H22" i="95"/>
  <c r="I22" i="95"/>
  <c r="J22" i="95"/>
  <c r="F23" i="95"/>
  <c r="G23" i="95" s="1"/>
  <c r="H23" i="95"/>
  <c r="I23" i="95"/>
  <c r="J23" i="95"/>
  <c r="F24" i="95"/>
  <c r="G24" i="95" s="1"/>
  <c r="H24" i="95"/>
  <c r="I24" i="95"/>
  <c r="J24" i="95"/>
  <c r="F25" i="95"/>
  <c r="G25" i="95" s="1"/>
  <c r="H25" i="95"/>
  <c r="I25" i="95"/>
  <c r="J25" i="95"/>
  <c r="F26" i="95"/>
  <c r="G26" i="95" s="1"/>
  <c r="H26" i="95"/>
  <c r="I26" i="95"/>
  <c r="J26" i="95"/>
  <c r="F27" i="95"/>
  <c r="G27" i="95" s="1"/>
  <c r="H27" i="95"/>
  <c r="I27" i="95"/>
  <c r="J27" i="95"/>
  <c r="F28" i="95"/>
  <c r="G28" i="95" s="1"/>
  <c r="H28" i="95"/>
  <c r="I28" i="95"/>
  <c r="J28" i="95"/>
  <c r="F29" i="95"/>
  <c r="G29" i="95" s="1"/>
  <c r="H29" i="95"/>
  <c r="I29" i="95"/>
  <c r="J29" i="95"/>
  <c r="F30" i="95"/>
  <c r="G30" i="95" s="1"/>
  <c r="H30" i="95"/>
  <c r="I30" i="95"/>
  <c r="J30" i="95"/>
  <c r="F31" i="95"/>
  <c r="G31" i="95" s="1"/>
  <c r="H31" i="95"/>
  <c r="I31" i="95"/>
  <c r="J31" i="95"/>
  <c r="F32" i="95"/>
  <c r="G32" i="95" s="1"/>
  <c r="H32" i="95"/>
  <c r="I32" i="95"/>
  <c r="J32" i="95"/>
  <c r="F33" i="95"/>
  <c r="G33" i="95" s="1"/>
  <c r="H33" i="95"/>
  <c r="I33" i="95"/>
  <c r="J33" i="95"/>
  <c r="F34" i="95"/>
  <c r="G34" i="95" s="1"/>
  <c r="H34" i="95"/>
  <c r="I34" i="95"/>
  <c r="J34" i="95"/>
  <c r="F35" i="95"/>
  <c r="G35" i="95" s="1"/>
  <c r="H35" i="95"/>
  <c r="I35" i="95"/>
  <c r="J35" i="95"/>
  <c r="F36" i="95"/>
  <c r="G36" i="95" s="1"/>
  <c r="H36" i="95"/>
  <c r="I36" i="95"/>
  <c r="J36" i="95"/>
  <c r="F37" i="95"/>
  <c r="G37" i="95" s="1"/>
  <c r="H37" i="95"/>
  <c r="I37" i="95"/>
  <c r="J37" i="95"/>
  <c r="F38" i="95"/>
  <c r="G38" i="95" s="1"/>
  <c r="H38" i="95"/>
  <c r="I38" i="95"/>
  <c r="J38" i="95"/>
  <c r="F39" i="95"/>
  <c r="G39" i="95" s="1"/>
  <c r="H39" i="95"/>
  <c r="I39" i="95"/>
  <c r="J39" i="95"/>
  <c r="F40" i="95"/>
  <c r="G40" i="95" s="1"/>
  <c r="H40" i="95"/>
  <c r="I40" i="95"/>
  <c r="J40" i="95"/>
  <c r="F41" i="95"/>
  <c r="G41" i="95" s="1"/>
  <c r="H41" i="95"/>
  <c r="I41" i="95"/>
  <c r="J41" i="95"/>
  <c r="F42" i="95"/>
  <c r="G42" i="95" s="1"/>
  <c r="H42" i="95"/>
  <c r="I42" i="95"/>
  <c r="J42" i="95"/>
  <c r="F43" i="95"/>
  <c r="G43" i="95" s="1"/>
  <c r="H43" i="95"/>
  <c r="I43" i="95"/>
  <c r="J43" i="95"/>
  <c r="F44" i="95"/>
  <c r="G44" i="95" s="1"/>
  <c r="H44" i="95"/>
  <c r="I44" i="95"/>
  <c r="J44" i="95"/>
  <c r="F45" i="95"/>
  <c r="G45" i="95" s="1"/>
  <c r="H45" i="95"/>
  <c r="I45" i="95"/>
  <c r="J45" i="95"/>
  <c r="F46" i="95"/>
  <c r="G46" i="95" s="1"/>
  <c r="H46" i="95"/>
  <c r="I46" i="95"/>
  <c r="J46" i="95"/>
  <c r="F47" i="95"/>
  <c r="G47" i="95" s="1"/>
  <c r="H47" i="95"/>
  <c r="I47" i="95"/>
  <c r="J47" i="95"/>
  <c r="F48" i="95"/>
  <c r="G48" i="95" s="1"/>
  <c r="H48" i="95"/>
  <c r="I48" i="95"/>
  <c r="J48" i="95"/>
  <c r="F49" i="95"/>
  <c r="G49" i="95" s="1"/>
  <c r="H49" i="95"/>
  <c r="I49" i="95"/>
  <c r="J49" i="95"/>
  <c r="F50" i="95"/>
  <c r="G50" i="95" s="1"/>
  <c r="H50" i="95"/>
  <c r="I50" i="95"/>
  <c r="J50" i="95"/>
  <c r="F51" i="95"/>
  <c r="G51" i="95" s="1"/>
  <c r="H51" i="95"/>
  <c r="I51" i="95"/>
  <c r="J51" i="95"/>
  <c r="F52" i="95"/>
  <c r="G52" i="95" s="1"/>
  <c r="H52" i="95"/>
  <c r="I52" i="95"/>
  <c r="J52" i="95"/>
  <c r="F53" i="95"/>
  <c r="G53" i="95" s="1"/>
  <c r="H53" i="95"/>
  <c r="I53" i="95"/>
  <c r="J53" i="95"/>
  <c r="F54" i="95"/>
  <c r="G54" i="95" s="1"/>
  <c r="H54" i="95"/>
  <c r="I54" i="95"/>
  <c r="J54" i="95"/>
  <c r="F55" i="95"/>
  <c r="G55" i="95" s="1"/>
  <c r="H55" i="95"/>
  <c r="I55" i="95"/>
  <c r="J55" i="95"/>
  <c r="F56" i="95"/>
  <c r="G56" i="95" s="1"/>
  <c r="H56" i="95"/>
  <c r="I56" i="95"/>
  <c r="J56" i="95"/>
  <c r="F57" i="95"/>
  <c r="G57" i="95" s="1"/>
  <c r="H57" i="95"/>
  <c r="I57" i="95"/>
  <c r="J57" i="95"/>
  <c r="F58" i="95"/>
  <c r="G58" i="95" s="1"/>
  <c r="H58" i="95"/>
  <c r="I58" i="95"/>
  <c r="J58" i="95"/>
  <c r="F59" i="95"/>
  <c r="G59" i="95" s="1"/>
  <c r="H59" i="95"/>
  <c r="I59" i="95"/>
  <c r="J59" i="95"/>
  <c r="F60" i="95"/>
  <c r="G60" i="95" s="1"/>
  <c r="H60" i="95"/>
  <c r="I60" i="95"/>
  <c r="J60" i="95"/>
  <c r="F61" i="95"/>
  <c r="G61" i="95" s="1"/>
  <c r="H61" i="95"/>
  <c r="I61" i="95"/>
  <c r="J61" i="95"/>
  <c r="F62" i="95"/>
  <c r="G62" i="95" s="1"/>
  <c r="H62" i="95"/>
  <c r="I62" i="95"/>
  <c r="J62" i="95"/>
  <c r="F63" i="95"/>
  <c r="G63" i="95" s="1"/>
  <c r="H63" i="95"/>
  <c r="I63" i="95"/>
  <c r="J63" i="95"/>
  <c r="F64" i="95"/>
  <c r="G64" i="95" s="1"/>
  <c r="H64" i="95"/>
  <c r="I64" i="95"/>
  <c r="J64" i="95"/>
  <c r="F65" i="95"/>
  <c r="G65" i="95" s="1"/>
  <c r="H65" i="95"/>
  <c r="I65" i="95"/>
  <c r="J65" i="95"/>
  <c r="F66" i="95"/>
  <c r="G66" i="95" s="1"/>
  <c r="H66" i="95"/>
  <c r="I66" i="95"/>
  <c r="J66" i="95"/>
  <c r="F67" i="95"/>
  <c r="G67" i="95" s="1"/>
  <c r="H67" i="95"/>
  <c r="I67" i="95"/>
  <c r="J67" i="95"/>
  <c r="F68" i="95"/>
  <c r="G68" i="95" s="1"/>
  <c r="H68" i="95"/>
  <c r="I68" i="95"/>
  <c r="J68" i="95"/>
  <c r="F69" i="95"/>
  <c r="G69" i="95" s="1"/>
  <c r="H69" i="95"/>
  <c r="I69" i="95"/>
  <c r="J69" i="95"/>
  <c r="F70" i="95"/>
  <c r="G70" i="95" s="1"/>
  <c r="H70" i="95"/>
  <c r="I70" i="95"/>
  <c r="J70" i="95"/>
  <c r="F71" i="95"/>
  <c r="G71" i="95" s="1"/>
  <c r="H71" i="95"/>
  <c r="I71" i="95"/>
  <c r="J71" i="95"/>
  <c r="F72" i="95"/>
  <c r="G72" i="95" s="1"/>
  <c r="H72" i="95"/>
  <c r="I72" i="95"/>
  <c r="J72" i="95"/>
  <c r="F73" i="95"/>
  <c r="G73" i="95" s="1"/>
  <c r="H73" i="95"/>
  <c r="I73" i="95"/>
  <c r="J73" i="95"/>
  <c r="F74" i="95"/>
  <c r="G74" i="95" s="1"/>
  <c r="H74" i="95"/>
  <c r="I74" i="95"/>
  <c r="J74" i="95"/>
  <c r="F75" i="95"/>
  <c r="G75" i="95" s="1"/>
  <c r="H75" i="95"/>
  <c r="I75" i="95"/>
  <c r="J75" i="95"/>
  <c r="F76" i="95"/>
  <c r="G76" i="95" s="1"/>
  <c r="H76" i="95"/>
  <c r="I76" i="95"/>
  <c r="J76" i="95"/>
  <c r="F77" i="95"/>
  <c r="G77" i="95" s="1"/>
  <c r="H77" i="95"/>
  <c r="I77" i="95"/>
  <c r="J77" i="95"/>
  <c r="F78" i="95"/>
  <c r="G78" i="95" s="1"/>
  <c r="H78" i="95"/>
  <c r="I78" i="95"/>
  <c r="J78" i="95"/>
  <c r="F79" i="95"/>
  <c r="G79" i="95" s="1"/>
  <c r="H79" i="95"/>
  <c r="I79" i="95"/>
  <c r="J79" i="95"/>
  <c r="F80" i="95"/>
  <c r="G80" i="95" s="1"/>
  <c r="H80" i="95"/>
  <c r="I80" i="95"/>
  <c r="J80" i="95"/>
  <c r="F81" i="95"/>
  <c r="G81" i="95" s="1"/>
  <c r="H81" i="95"/>
  <c r="I81" i="95"/>
  <c r="J81" i="95"/>
  <c r="F82" i="95"/>
  <c r="G82" i="95" s="1"/>
  <c r="H82" i="95"/>
  <c r="I82" i="95"/>
  <c r="J82" i="95"/>
  <c r="F83" i="95"/>
  <c r="G83" i="95" s="1"/>
  <c r="H83" i="95"/>
  <c r="I83" i="95"/>
  <c r="J83" i="95"/>
  <c r="F84" i="95"/>
  <c r="G84" i="95" s="1"/>
  <c r="H84" i="95"/>
  <c r="I84" i="95"/>
  <c r="J84" i="95"/>
  <c r="F85" i="95"/>
  <c r="G85" i="95" s="1"/>
  <c r="H85" i="95"/>
  <c r="I85" i="95"/>
  <c r="J85" i="95"/>
  <c r="F86" i="95"/>
  <c r="G86" i="95" s="1"/>
  <c r="H86" i="95"/>
  <c r="I86" i="95"/>
  <c r="J86" i="95"/>
  <c r="F87" i="95"/>
  <c r="G87" i="95" s="1"/>
  <c r="H87" i="95"/>
  <c r="I87" i="95"/>
  <c r="J87" i="95"/>
  <c r="F88" i="95"/>
  <c r="G88" i="95" s="1"/>
  <c r="H88" i="95"/>
  <c r="I88" i="95"/>
  <c r="J88" i="95"/>
  <c r="F89" i="95"/>
  <c r="G89" i="95" s="1"/>
  <c r="H89" i="95"/>
  <c r="I89" i="95"/>
  <c r="J89" i="95"/>
  <c r="F90" i="95"/>
  <c r="G90" i="95" s="1"/>
  <c r="H90" i="95"/>
  <c r="I90" i="95"/>
  <c r="J90" i="95"/>
  <c r="F91" i="95"/>
  <c r="G91" i="95" s="1"/>
  <c r="H91" i="95"/>
  <c r="I91" i="95"/>
  <c r="J91" i="95"/>
  <c r="F92" i="95"/>
  <c r="G92" i="95" s="1"/>
  <c r="H92" i="95"/>
  <c r="I92" i="95"/>
  <c r="J92" i="95"/>
  <c r="F93" i="95"/>
  <c r="G93" i="95" s="1"/>
  <c r="H93" i="95"/>
  <c r="I93" i="95"/>
  <c r="J93" i="95"/>
  <c r="F94" i="95"/>
  <c r="G94" i="95" s="1"/>
  <c r="H94" i="95"/>
  <c r="I94" i="95"/>
  <c r="J94" i="95"/>
  <c r="F95" i="95"/>
  <c r="G95" i="95" s="1"/>
  <c r="H95" i="95"/>
  <c r="I95" i="95"/>
  <c r="J95" i="95"/>
  <c r="F96" i="95"/>
  <c r="G96" i="95" s="1"/>
  <c r="H96" i="95"/>
  <c r="I96" i="95"/>
  <c r="J96" i="95"/>
  <c r="F97" i="95"/>
  <c r="G97" i="95" s="1"/>
  <c r="H97" i="95"/>
  <c r="I97" i="95"/>
  <c r="J97" i="95"/>
  <c r="F98" i="95"/>
  <c r="G98" i="95" s="1"/>
  <c r="H98" i="95"/>
  <c r="I98" i="95"/>
  <c r="J98" i="95"/>
  <c r="F99" i="95"/>
  <c r="G99" i="95" s="1"/>
  <c r="H99" i="95"/>
  <c r="I99" i="95"/>
  <c r="J99" i="95"/>
  <c r="F100" i="95"/>
  <c r="G100" i="95" s="1"/>
  <c r="H100" i="95"/>
  <c r="I100" i="95"/>
  <c r="J100" i="95"/>
  <c r="F101" i="95"/>
  <c r="G101" i="95" s="1"/>
  <c r="H101" i="95"/>
  <c r="I101" i="95"/>
  <c r="J101" i="95"/>
  <c r="F102" i="95"/>
  <c r="G102" i="95" s="1"/>
  <c r="H102" i="95"/>
  <c r="I102" i="95"/>
  <c r="J102" i="95"/>
  <c r="F103" i="95"/>
  <c r="G103" i="95" s="1"/>
  <c r="H103" i="95"/>
  <c r="I103" i="95"/>
  <c r="J103" i="95"/>
  <c r="F104" i="95"/>
  <c r="G104" i="95" s="1"/>
  <c r="H104" i="95"/>
  <c r="I104" i="95"/>
  <c r="J104" i="95"/>
  <c r="F105" i="95"/>
  <c r="G105" i="95" s="1"/>
  <c r="H105" i="95"/>
  <c r="I105" i="95"/>
  <c r="J105" i="95"/>
  <c r="F106" i="95"/>
  <c r="G106" i="95" s="1"/>
  <c r="H106" i="95"/>
  <c r="I106" i="95"/>
  <c r="J106" i="95"/>
  <c r="F107" i="95"/>
  <c r="G107" i="95" s="1"/>
  <c r="H107" i="95"/>
  <c r="I107" i="95"/>
  <c r="J107" i="95"/>
  <c r="F108" i="95"/>
  <c r="G108" i="95" s="1"/>
  <c r="H108" i="95"/>
  <c r="I108" i="95"/>
  <c r="J108" i="95"/>
  <c r="F109" i="95"/>
  <c r="G109" i="95" s="1"/>
  <c r="H109" i="95"/>
  <c r="I109" i="95"/>
  <c r="J109" i="95"/>
  <c r="F110" i="95"/>
  <c r="G110" i="95" s="1"/>
  <c r="H110" i="95"/>
  <c r="I110" i="95"/>
  <c r="J110" i="95"/>
  <c r="F111" i="95"/>
  <c r="G111" i="95" s="1"/>
  <c r="H111" i="95"/>
  <c r="I111" i="95"/>
  <c r="J111" i="95"/>
  <c r="F112" i="95"/>
  <c r="G112" i="95" s="1"/>
  <c r="H112" i="95"/>
  <c r="I112" i="95"/>
  <c r="J112" i="95"/>
  <c r="F113" i="95"/>
  <c r="G113" i="95" s="1"/>
  <c r="H113" i="95"/>
  <c r="I113" i="95"/>
  <c r="J113" i="95"/>
  <c r="F114" i="95"/>
  <c r="G114" i="95" s="1"/>
  <c r="H114" i="95"/>
  <c r="I114" i="95"/>
  <c r="J114" i="95"/>
  <c r="F115" i="95"/>
  <c r="G115" i="95" s="1"/>
  <c r="H115" i="95"/>
  <c r="I115" i="95"/>
  <c r="J115" i="95"/>
  <c r="F116" i="95"/>
  <c r="G116" i="95" s="1"/>
  <c r="H116" i="95"/>
  <c r="I116" i="95"/>
  <c r="J116" i="95"/>
  <c r="F117" i="95"/>
  <c r="G117" i="95" s="1"/>
  <c r="H117" i="95"/>
  <c r="I117" i="95"/>
  <c r="J117" i="95"/>
  <c r="F118" i="95"/>
  <c r="G118" i="95" s="1"/>
  <c r="H118" i="95"/>
  <c r="I118" i="95"/>
  <c r="J118" i="95"/>
  <c r="F119" i="95"/>
  <c r="G119" i="95" s="1"/>
  <c r="H119" i="95"/>
  <c r="I119" i="95"/>
  <c r="J119" i="95"/>
  <c r="F120" i="95"/>
  <c r="G120" i="95" s="1"/>
  <c r="H120" i="95"/>
  <c r="I120" i="95"/>
  <c r="J120" i="95"/>
  <c r="F121" i="95"/>
  <c r="G121" i="95" s="1"/>
  <c r="H121" i="95"/>
  <c r="I121" i="95"/>
  <c r="J121" i="95"/>
  <c r="F122" i="95"/>
  <c r="G122" i="95" s="1"/>
  <c r="H122" i="95"/>
  <c r="I122" i="95"/>
  <c r="J122" i="95"/>
  <c r="F123" i="95"/>
  <c r="G123" i="95" s="1"/>
  <c r="H123" i="95"/>
  <c r="I123" i="95"/>
  <c r="J123" i="95"/>
  <c r="F124" i="95"/>
  <c r="G124" i="95" s="1"/>
  <c r="H124" i="95"/>
  <c r="I124" i="95"/>
  <c r="J124" i="95"/>
  <c r="F125" i="95"/>
  <c r="G125" i="95" s="1"/>
  <c r="H125" i="95"/>
  <c r="I125" i="95"/>
  <c r="J125" i="95"/>
  <c r="F126" i="95"/>
  <c r="G126" i="95" s="1"/>
  <c r="H126" i="95"/>
  <c r="I126" i="95"/>
  <c r="J126" i="95"/>
  <c r="F127" i="95"/>
  <c r="G127" i="95" s="1"/>
  <c r="H127" i="95"/>
  <c r="I127" i="95"/>
  <c r="J127" i="95"/>
  <c r="F128" i="95"/>
  <c r="G128" i="95" s="1"/>
  <c r="H128" i="95"/>
  <c r="I128" i="95"/>
  <c r="J128" i="95"/>
  <c r="F129" i="95"/>
  <c r="G129" i="95" s="1"/>
  <c r="H129" i="95"/>
  <c r="I129" i="95"/>
  <c r="J129" i="95"/>
  <c r="F130" i="95"/>
  <c r="G130" i="95" s="1"/>
  <c r="H130" i="95"/>
  <c r="I130" i="95"/>
  <c r="J130" i="95"/>
  <c r="F131" i="95"/>
  <c r="G131" i="95" s="1"/>
  <c r="H131" i="95"/>
  <c r="I131" i="95"/>
  <c r="J131" i="95"/>
  <c r="F132" i="95"/>
  <c r="G132" i="95" s="1"/>
  <c r="H132" i="95"/>
  <c r="I132" i="95"/>
  <c r="J132" i="95"/>
  <c r="F133" i="95"/>
  <c r="G133" i="95" s="1"/>
  <c r="H133" i="95"/>
  <c r="I133" i="95"/>
  <c r="J133" i="95"/>
  <c r="F134" i="95"/>
  <c r="G134" i="95" s="1"/>
  <c r="H134" i="95"/>
  <c r="I134" i="95"/>
  <c r="J134" i="95"/>
  <c r="F135" i="95"/>
  <c r="G135" i="95" s="1"/>
  <c r="H135" i="95"/>
  <c r="I135" i="95"/>
  <c r="J135" i="95"/>
  <c r="F136" i="95"/>
  <c r="G136" i="95" s="1"/>
  <c r="H136" i="95"/>
  <c r="I136" i="95"/>
  <c r="J136" i="95"/>
  <c r="F137" i="95"/>
  <c r="G137" i="95" s="1"/>
  <c r="H137" i="95"/>
  <c r="I137" i="95"/>
  <c r="J137" i="95"/>
  <c r="F138" i="95"/>
  <c r="G138" i="95" s="1"/>
  <c r="H138" i="95"/>
  <c r="I138" i="95"/>
  <c r="J138" i="95"/>
  <c r="F139" i="95"/>
  <c r="G139" i="95" s="1"/>
  <c r="H139" i="95"/>
  <c r="I139" i="95"/>
  <c r="J139" i="95"/>
  <c r="F140" i="95"/>
  <c r="G140" i="95" s="1"/>
  <c r="H140" i="95"/>
  <c r="I140" i="95"/>
  <c r="J140" i="95"/>
  <c r="F141" i="95"/>
  <c r="G141" i="95" s="1"/>
  <c r="H141" i="95"/>
  <c r="I141" i="95"/>
  <c r="J141" i="95"/>
  <c r="F142" i="95"/>
  <c r="G142" i="95" s="1"/>
  <c r="H142" i="95"/>
  <c r="I142" i="95"/>
  <c r="J142" i="95"/>
  <c r="F143" i="95"/>
  <c r="G143" i="95" s="1"/>
  <c r="H143" i="95"/>
  <c r="I143" i="95"/>
  <c r="J143" i="95"/>
  <c r="F144" i="95"/>
  <c r="G144" i="95" s="1"/>
  <c r="H144" i="95"/>
  <c r="I144" i="95"/>
  <c r="J144" i="95"/>
  <c r="F145" i="95"/>
  <c r="G145" i="95" s="1"/>
  <c r="H145" i="95"/>
  <c r="I145" i="95"/>
  <c r="J145" i="95"/>
  <c r="F146" i="95"/>
  <c r="G146" i="95" s="1"/>
  <c r="H146" i="95"/>
  <c r="I146" i="95"/>
  <c r="J146" i="95"/>
  <c r="F147" i="95"/>
  <c r="G147" i="95" s="1"/>
  <c r="H147" i="95"/>
  <c r="I147" i="95"/>
  <c r="J147" i="95"/>
  <c r="F148" i="95"/>
  <c r="G148" i="95" s="1"/>
  <c r="H148" i="95"/>
  <c r="I148" i="95"/>
  <c r="J148" i="95"/>
  <c r="F149" i="95"/>
  <c r="G149" i="95" s="1"/>
  <c r="H149" i="95"/>
  <c r="I149" i="95"/>
  <c r="J149" i="95"/>
  <c r="F150" i="95"/>
  <c r="G150" i="95" s="1"/>
  <c r="H150" i="95"/>
  <c r="I150" i="95"/>
  <c r="J150" i="95"/>
  <c r="F151" i="95"/>
  <c r="G151" i="95" s="1"/>
  <c r="H151" i="95"/>
  <c r="I151" i="95"/>
  <c r="J151" i="95"/>
  <c r="F152" i="95"/>
  <c r="G152" i="95" s="1"/>
  <c r="H152" i="95"/>
  <c r="I152" i="95"/>
  <c r="J152" i="95"/>
  <c r="F153" i="95"/>
  <c r="G153" i="95" s="1"/>
  <c r="H153" i="95"/>
  <c r="I153" i="95"/>
  <c r="J153" i="95"/>
  <c r="F154" i="95"/>
  <c r="G154" i="95" s="1"/>
  <c r="H154" i="95"/>
  <c r="I154" i="95"/>
  <c r="J154" i="95"/>
  <c r="F155" i="95"/>
  <c r="G155" i="95" s="1"/>
  <c r="H155" i="95"/>
  <c r="I155" i="95"/>
  <c r="J155" i="95"/>
  <c r="F156" i="95"/>
  <c r="G156" i="95" s="1"/>
  <c r="H156" i="95"/>
  <c r="I156" i="95"/>
  <c r="J156" i="95"/>
  <c r="F157" i="95"/>
  <c r="G157" i="95" s="1"/>
  <c r="H157" i="95"/>
  <c r="I157" i="95"/>
  <c r="J157" i="95"/>
  <c r="F158" i="95"/>
  <c r="G158" i="95" s="1"/>
  <c r="H158" i="95"/>
  <c r="I158" i="95"/>
  <c r="J158" i="95"/>
  <c r="F159" i="95"/>
  <c r="G159" i="95" s="1"/>
  <c r="H159" i="95"/>
  <c r="I159" i="95"/>
  <c r="J159" i="95"/>
  <c r="F160" i="95"/>
  <c r="G160" i="95" s="1"/>
  <c r="H160" i="95"/>
  <c r="I160" i="95"/>
  <c r="J160" i="95"/>
  <c r="F161" i="95"/>
  <c r="G161" i="95" s="1"/>
  <c r="H161" i="95"/>
  <c r="I161" i="95"/>
  <c r="J161" i="95"/>
  <c r="F162" i="95"/>
  <c r="G162" i="95" s="1"/>
  <c r="H162" i="95"/>
  <c r="I162" i="95"/>
  <c r="J162" i="95"/>
  <c r="F163" i="95"/>
  <c r="G163" i="95" s="1"/>
  <c r="H163" i="95"/>
  <c r="I163" i="95"/>
  <c r="J163" i="95"/>
  <c r="F164" i="95"/>
  <c r="G164" i="95" s="1"/>
  <c r="H164" i="95"/>
  <c r="I164" i="95"/>
  <c r="J164" i="95"/>
  <c r="F165" i="95"/>
  <c r="G165" i="95" s="1"/>
  <c r="H165" i="95"/>
  <c r="I165" i="95"/>
  <c r="J165" i="95"/>
  <c r="F166" i="95"/>
  <c r="G166" i="95" s="1"/>
  <c r="H166" i="95"/>
  <c r="I166" i="95"/>
  <c r="J166" i="95"/>
  <c r="F167" i="95"/>
  <c r="G167" i="95" s="1"/>
  <c r="H167" i="95"/>
  <c r="I167" i="95"/>
  <c r="J167" i="95"/>
  <c r="F168" i="95"/>
  <c r="G168" i="95" s="1"/>
  <c r="H168" i="95"/>
  <c r="I168" i="95"/>
  <c r="J168" i="95"/>
  <c r="F169" i="95"/>
  <c r="G169" i="95" s="1"/>
  <c r="H169" i="95"/>
  <c r="I169" i="95"/>
  <c r="J169" i="95"/>
  <c r="F170" i="95"/>
  <c r="G170" i="95" s="1"/>
  <c r="H170" i="95"/>
  <c r="I170" i="95"/>
  <c r="J170" i="95"/>
  <c r="F171" i="95"/>
  <c r="G171" i="95" s="1"/>
  <c r="H171" i="95"/>
  <c r="I171" i="95"/>
  <c r="J171" i="95"/>
  <c r="F172" i="95"/>
  <c r="G172" i="95" s="1"/>
  <c r="H172" i="95"/>
  <c r="I172" i="95"/>
  <c r="J172" i="95"/>
  <c r="F173" i="95"/>
  <c r="G173" i="95" s="1"/>
  <c r="H173" i="95"/>
  <c r="I173" i="95"/>
  <c r="J173" i="95"/>
  <c r="F174" i="95"/>
  <c r="G174" i="95" s="1"/>
  <c r="H174" i="95"/>
  <c r="I174" i="95"/>
  <c r="J174" i="95"/>
  <c r="F175" i="95"/>
  <c r="G175" i="95" s="1"/>
  <c r="H175" i="95"/>
  <c r="I175" i="95"/>
  <c r="J175" i="95"/>
  <c r="F176" i="95"/>
  <c r="G176" i="95" s="1"/>
  <c r="H176" i="95"/>
  <c r="I176" i="95"/>
  <c r="J176" i="95"/>
  <c r="F177" i="95"/>
  <c r="G177" i="95" s="1"/>
  <c r="H177" i="95"/>
  <c r="I177" i="95"/>
  <c r="J177" i="95"/>
  <c r="F178" i="95"/>
  <c r="G178" i="95" s="1"/>
  <c r="H178" i="95"/>
  <c r="I178" i="95"/>
  <c r="J178" i="95"/>
  <c r="F179" i="95"/>
  <c r="G179" i="95" s="1"/>
  <c r="H179" i="95"/>
  <c r="I179" i="95"/>
  <c r="J179" i="95"/>
  <c r="F180" i="95"/>
  <c r="G180" i="95" s="1"/>
  <c r="H180" i="95"/>
  <c r="I180" i="95"/>
  <c r="J180" i="95"/>
  <c r="F181" i="95"/>
  <c r="G181" i="95" s="1"/>
  <c r="H181" i="95"/>
  <c r="I181" i="95"/>
  <c r="J181" i="95"/>
  <c r="F182" i="95"/>
  <c r="G182" i="95" s="1"/>
  <c r="H182" i="95"/>
  <c r="I182" i="95"/>
  <c r="J182" i="95"/>
  <c r="F183" i="95"/>
  <c r="G183" i="95" s="1"/>
  <c r="H183" i="95"/>
  <c r="I183" i="95"/>
  <c r="J183" i="95"/>
  <c r="F184" i="95"/>
  <c r="G184" i="95" s="1"/>
  <c r="H184" i="95"/>
  <c r="I184" i="95"/>
  <c r="J184" i="95"/>
  <c r="F185" i="95"/>
  <c r="G185" i="95" s="1"/>
  <c r="H185" i="95"/>
  <c r="I185" i="95"/>
  <c r="J185" i="95"/>
  <c r="F186" i="95"/>
  <c r="G186" i="95" s="1"/>
  <c r="H186" i="95"/>
  <c r="I186" i="95"/>
  <c r="J186" i="95"/>
  <c r="F187" i="95"/>
  <c r="G187" i="95" s="1"/>
  <c r="H187" i="95"/>
  <c r="I187" i="95"/>
  <c r="J187" i="95"/>
  <c r="F188" i="95"/>
  <c r="G188" i="95" s="1"/>
  <c r="H188" i="95"/>
  <c r="I188" i="95"/>
  <c r="J188" i="95"/>
  <c r="F189" i="95"/>
  <c r="G189" i="95" s="1"/>
  <c r="H189" i="95"/>
  <c r="I189" i="95"/>
  <c r="J189" i="95"/>
  <c r="F190" i="95"/>
  <c r="G190" i="95" s="1"/>
  <c r="H190" i="95"/>
  <c r="I190" i="95"/>
  <c r="J190" i="95"/>
  <c r="F191" i="95"/>
  <c r="G191" i="95" s="1"/>
  <c r="H191" i="95"/>
  <c r="I191" i="95"/>
  <c r="J191" i="95"/>
  <c r="F192" i="95"/>
  <c r="G192" i="95" s="1"/>
  <c r="H192" i="95"/>
  <c r="I192" i="95"/>
  <c r="J192" i="95"/>
  <c r="F193" i="95"/>
  <c r="G193" i="95" s="1"/>
  <c r="H193" i="95"/>
  <c r="I193" i="95"/>
  <c r="J193" i="95"/>
  <c r="F194" i="95"/>
  <c r="G194" i="95" s="1"/>
  <c r="H194" i="95"/>
  <c r="I194" i="95"/>
  <c r="J194" i="95"/>
  <c r="F195" i="95"/>
  <c r="G195" i="95" s="1"/>
  <c r="H195" i="95"/>
  <c r="I195" i="95"/>
  <c r="J195" i="95"/>
  <c r="F196" i="95"/>
  <c r="G196" i="95" s="1"/>
  <c r="H196" i="95"/>
  <c r="I196" i="95"/>
  <c r="J196" i="95"/>
  <c r="F197" i="95"/>
  <c r="G197" i="95" s="1"/>
  <c r="H197" i="95"/>
  <c r="I197" i="95"/>
  <c r="J197" i="95"/>
  <c r="F198" i="95"/>
  <c r="G198" i="95" s="1"/>
  <c r="H198" i="95"/>
  <c r="I198" i="95"/>
  <c r="J198" i="95"/>
  <c r="F199" i="95"/>
  <c r="G199" i="95" s="1"/>
  <c r="H199" i="95"/>
  <c r="I199" i="95"/>
  <c r="J199" i="95"/>
  <c r="F200" i="95"/>
  <c r="G200" i="95" s="1"/>
  <c r="H200" i="95"/>
  <c r="I200" i="95"/>
  <c r="J200" i="95"/>
  <c r="F201" i="95"/>
  <c r="G201" i="95" s="1"/>
  <c r="H201" i="95"/>
  <c r="I201" i="95"/>
  <c r="J201" i="95"/>
  <c r="F202" i="95"/>
  <c r="G202" i="95" s="1"/>
  <c r="H202" i="95"/>
  <c r="I202" i="95"/>
  <c r="J202" i="95"/>
  <c r="F203" i="95"/>
  <c r="G203" i="95" s="1"/>
  <c r="H203" i="95"/>
  <c r="I203" i="95"/>
  <c r="J203" i="95"/>
  <c r="F204" i="95"/>
  <c r="G204" i="95" s="1"/>
  <c r="H204" i="95"/>
  <c r="I204" i="95"/>
  <c r="J204" i="95"/>
  <c r="F205" i="95"/>
  <c r="G205" i="95" s="1"/>
  <c r="H205" i="95"/>
  <c r="I205" i="95"/>
  <c r="J205" i="95"/>
  <c r="F206" i="95"/>
  <c r="G206" i="95" s="1"/>
  <c r="H206" i="95"/>
  <c r="I206" i="95"/>
  <c r="J206" i="95"/>
  <c r="F207" i="95"/>
  <c r="G207" i="95" s="1"/>
  <c r="H207" i="95"/>
  <c r="I207" i="95"/>
  <c r="J207" i="95"/>
  <c r="F208" i="95"/>
  <c r="G208" i="95" s="1"/>
  <c r="H208" i="95"/>
  <c r="I208" i="95"/>
  <c r="J208" i="95"/>
  <c r="F209" i="95"/>
  <c r="G209" i="95" s="1"/>
  <c r="H209" i="95"/>
  <c r="I209" i="95"/>
  <c r="J209" i="95"/>
  <c r="F210" i="95"/>
  <c r="G210" i="95" s="1"/>
  <c r="H210" i="95"/>
  <c r="I210" i="95"/>
  <c r="J210" i="95"/>
  <c r="F211" i="95"/>
  <c r="G211" i="95" s="1"/>
  <c r="H211" i="95"/>
  <c r="I211" i="95"/>
  <c r="J211" i="95"/>
  <c r="F212" i="95"/>
  <c r="G212" i="95" s="1"/>
  <c r="H212" i="95"/>
  <c r="I212" i="95"/>
  <c r="J212" i="95"/>
  <c r="F213" i="95"/>
  <c r="G213" i="95" s="1"/>
  <c r="H213" i="95"/>
  <c r="I213" i="95"/>
  <c r="J213" i="95"/>
  <c r="F214" i="95"/>
  <c r="G214" i="95" s="1"/>
  <c r="H214" i="95"/>
  <c r="I214" i="95"/>
  <c r="J214" i="95"/>
  <c r="F215" i="95"/>
  <c r="G215" i="95" s="1"/>
  <c r="H215" i="95"/>
  <c r="I215" i="95"/>
  <c r="J215" i="95"/>
  <c r="F216" i="95"/>
  <c r="G216" i="95" s="1"/>
  <c r="H216" i="95"/>
  <c r="I216" i="95"/>
  <c r="J216" i="95"/>
  <c r="F217" i="95"/>
  <c r="G217" i="95" s="1"/>
  <c r="H217" i="95"/>
  <c r="I217" i="95"/>
  <c r="J217" i="95"/>
  <c r="F218" i="95"/>
  <c r="G218" i="95" s="1"/>
  <c r="H218" i="95"/>
  <c r="I218" i="95"/>
  <c r="J218" i="95"/>
  <c r="F219" i="95"/>
  <c r="G219" i="95" s="1"/>
  <c r="H219" i="95"/>
  <c r="I219" i="95"/>
  <c r="J219" i="95"/>
  <c r="F220" i="95"/>
  <c r="G220" i="95" s="1"/>
  <c r="H220" i="95"/>
  <c r="I220" i="95"/>
  <c r="J220" i="95"/>
  <c r="F221" i="95"/>
  <c r="G221" i="95" s="1"/>
  <c r="H221" i="95"/>
  <c r="I221" i="95"/>
  <c r="J221" i="95"/>
  <c r="F222" i="95"/>
  <c r="G222" i="95" s="1"/>
  <c r="H222" i="95"/>
  <c r="I222" i="95"/>
  <c r="J222" i="95"/>
  <c r="F223" i="95"/>
  <c r="G223" i="95" s="1"/>
  <c r="H223" i="95"/>
  <c r="I223" i="95"/>
  <c r="J223" i="95"/>
  <c r="F224" i="95"/>
  <c r="G224" i="95" s="1"/>
  <c r="H224" i="95"/>
  <c r="I224" i="95"/>
  <c r="J224" i="95"/>
  <c r="F225" i="95"/>
  <c r="G225" i="95" s="1"/>
  <c r="H225" i="95"/>
  <c r="I225" i="95"/>
  <c r="J225" i="95"/>
  <c r="F226" i="95"/>
  <c r="G226" i="95" s="1"/>
  <c r="H226" i="95"/>
  <c r="I226" i="95"/>
  <c r="J226" i="95"/>
  <c r="F227" i="95"/>
  <c r="G227" i="95" s="1"/>
  <c r="H227" i="95"/>
  <c r="I227" i="95"/>
  <c r="J227" i="95"/>
  <c r="F228" i="95"/>
  <c r="G228" i="95" s="1"/>
  <c r="H228" i="95"/>
  <c r="I228" i="95"/>
  <c r="J228" i="95"/>
  <c r="F229" i="95"/>
  <c r="G229" i="95" s="1"/>
  <c r="H229" i="95"/>
  <c r="I229" i="95"/>
  <c r="J229" i="95"/>
  <c r="F230" i="95"/>
  <c r="G230" i="95" s="1"/>
  <c r="H230" i="95"/>
  <c r="I230" i="95"/>
  <c r="J230" i="95"/>
  <c r="F231" i="95"/>
  <c r="G231" i="95" s="1"/>
  <c r="H231" i="95"/>
  <c r="I231" i="95"/>
  <c r="J231" i="95"/>
  <c r="F232" i="95"/>
  <c r="G232" i="95" s="1"/>
  <c r="H232" i="95"/>
  <c r="I232" i="95"/>
  <c r="J232" i="95"/>
  <c r="F233" i="95"/>
  <c r="G233" i="95" s="1"/>
  <c r="H233" i="95"/>
  <c r="I233" i="95"/>
  <c r="J233" i="95"/>
  <c r="F234" i="95"/>
  <c r="G234" i="95" s="1"/>
  <c r="H234" i="95"/>
  <c r="I234" i="95"/>
  <c r="J234" i="95"/>
  <c r="F235" i="95"/>
  <c r="G235" i="95" s="1"/>
  <c r="H235" i="95"/>
  <c r="I235" i="95"/>
  <c r="J235" i="95"/>
  <c r="F236" i="95"/>
  <c r="G236" i="95" s="1"/>
  <c r="H236" i="95"/>
  <c r="I236" i="95"/>
  <c r="J236" i="95"/>
  <c r="F237" i="95"/>
  <c r="G237" i="95" s="1"/>
  <c r="H237" i="95"/>
  <c r="I237" i="95"/>
  <c r="J237" i="95"/>
  <c r="F238" i="95"/>
  <c r="G238" i="95" s="1"/>
  <c r="H238" i="95"/>
  <c r="I238" i="95"/>
  <c r="J238" i="95"/>
  <c r="F239" i="95"/>
  <c r="G239" i="95" s="1"/>
  <c r="H239" i="95"/>
  <c r="I239" i="95"/>
  <c r="J239" i="95"/>
  <c r="F240" i="95"/>
  <c r="G240" i="95" s="1"/>
  <c r="H240" i="95"/>
  <c r="I240" i="95"/>
  <c r="J240" i="95"/>
  <c r="F241" i="95"/>
  <c r="G241" i="95" s="1"/>
  <c r="H241" i="95"/>
  <c r="I241" i="95"/>
  <c r="J241" i="95"/>
  <c r="F242" i="95"/>
  <c r="G242" i="95" s="1"/>
  <c r="H242" i="95"/>
  <c r="I242" i="95"/>
  <c r="J242" i="95"/>
  <c r="F243" i="95"/>
  <c r="G243" i="95" s="1"/>
  <c r="H243" i="95"/>
  <c r="I243" i="95"/>
  <c r="J243" i="95"/>
  <c r="F244" i="95"/>
  <c r="G244" i="95" s="1"/>
  <c r="H244" i="95"/>
  <c r="I244" i="95"/>
  <c r="J244" i="95"/>
  <c r="F245" i="95"/>
  <c r="G245" i="95" s="1"/>
  <c r="H245" i="95"/>
  <c r="I245" i="95"/>
  <c r="J245" i="95"/>
  <c r="F246" i="95"/>
  <c r="G246" i="95" s="1"/>
  <c r="H246" i="95"/>
  <c r="I246" i="95"/>
  <c r="J246" i="95"/>
  <c r="F247" i="95"/>
  <c r="G247" i="95" s="1"/>
  <c r="H247" i="95"/>
  <c r="I247" i="95"/>
  <c r="J247" i="95"/>
  <c r="F248" i="95"/>
  <c r="G248" i="95" s="1"/>
  <c r="H248" i="95"/>
  <c r="I248" i="95"/>
  <c r="J248" i="95"/>
  <c r="F249" i="95"/>
  <c r="G249" i="95" s="1"/>
  <c r="H249" i="95"/>
  <c r="I249" i="95"/>
  <c r="J249" i="95"/>
  <c r="F250" i="95"/>
  <c r="G250" i="95" s="1"/>
  <c r="H250" i="95"/>
  <c r="I250" i="95"/>
  <c r="J250" i="95"/>
  <c r="F251" i="95"/>
  <c r="G251" i="95" s="1"/>
  <c r="H251" i="95"/>
  <c r="I251" i="95"/>
  <c r="J251" i="95"/>
  <c r="F252" i="95"/>
  <c r="G252" i="95" s="1"/>
  <c r="H252" i="95"/>
  <c r="I252" i="95"/>
  <c r="J252" i="95"/>
  <c r="F253" i="95"/>
  <c r="G253" i="95" s="1"/>
  <c r="H253" i="95"/>
  <c r="I253" i="95"/>
  <c r="J253" i="95"/>
  <c r="F254" i="95"/>
  <c r="G254" i="95" s="1"/>
  <c r="H254" i="95"/>
  <c r="I254" i="95"/>
  <c r="J254" i="95"/>
  <c r="F255" i="95"/>
  <c r="G255" i="95" s="1"/>
  <c r="H255" i="95"/>
  <c r="I255" i="95"/>
  <c r="J255" i="95"/>
  <c r="F256" i="95"/>
  <c r="G256" i="95" s="1"/>
  <c r="H256" i="95"/>
  <c r="I256" i="95"/>
  <c r="J256" i="95"/>
  <c r="F257" i="95"/>
  <c r="G257" i="95" s="1"/>
  <c r="H257" i="95"/>
  <c r="I257" i="95"/>
  <c r="J257" i="95"/>
  <c r="F258" i="95"/>
  <c r="G258" i="95" s="1"/>
  <c r="H258" i="95"/>
  <c r="I258" i="95"/>
  <c r="J258" i="95"/>
  <c r="F259" i="95"/>
  <c r="G259" i="95" s="1"/>
  <c r="H259" i="95"/>
  <c r="I259" i="95"/>
  <c r="J259" i="95"/>
  <c r="F260" i="95"/>
  <c r="G260" i="95" s="1"/>
  <c r="H260" i="95"/>
  <c r="I260" i="95"/>
  <c r="J260" i="95"/>
  <c r="F261" i="95"/>
  <c r="G261" i="95" s="1"/>
  <c r="H261" i="95"/>
  <c r="I261" i="95"/>
  <c r="J261" i="95"/>
  <c r="F262" i="95"/>
  <c r="G262" i="95" s="1"/>
  <c r="H262" i="95"/>
  <c r="I262" i="95"/>
  <c r="J262" i="95"/>
  <c r="F263" i="95"/>
  <c r="G263" i="95" s="1"/>
  <c r="H263" i="95"/>
  <c r="I263" i="95"/>
  <c r="J263" i="95"/>
  <c r="F264" i="95"/>
  <c r="G264" i="95" s="1"/>
  <c r="H264" i="95"/>
  <c r="I264" i="95"/>
  <c r="J264" i="95"/>
  <c r="F265" i="95"/>
  <c r="G265" i="95" s="1"/>
  <c r="H265" i="95"/>
  <c r="I265" i="95"/>
  <c r="J265" i="95"/>
  <c r="F266" i="95"/>
  <c r="G266" i="95" s="1"/>
  <c r="H266" i="95"/>
  <c r="I266" i="95"/>
  <c r="J266" i="95"/>
  <c r="F267" i="95"/>
  <c r="G267" i="95" s="1"/>
  <c r="H267" i="95"/>
  <c r="I267" i="95"/>
  <c r="J267" i="95"/>
  <c r="F268" i="95"/>
  <c r="G268" i="95" s="1"/>
  <c r="H268" i="95"/>
  <c r="I268" i="95"/>
  <c r="J268" i="95"/>
  <c r="F269" i="95"/>
  <c r="G269" i="95" s="1"/>
  <c r="H269" i="95"/>
  <c r="I269" i="95"/>
  <c r="J269" i="95"/>
  <c r="F270" i="95"/>
  <c r="G270" i="95" s="1"/>
  <c r="H270" i="95"/>
  <c r="I270" i="95"/>
  <c r="J270" i="95"/>
  <c r="F271" i="95"/>
  <c r="G271" i="95" s="1"/>
  <c r="H271" i="95"/>
  <c r="I271" i="95"/>
  <c r="J271" i="95"/>
  <c r="F272" i="95"/>
  <c r="G272" i="95" s="1"/>
  <c r="H272" i="95"/>
  <c r="I272" i="95"/>
  <c r="J272" i="95"/>
  <c r="F273" i="95"/>
  <c r="G273" i="95" s="1"/>
  <c r="H273" i="95"/>
  <c r="I273" i="95"/>
  <c r="J273" i="95"/>
  <c r="F274" i="95"/>
  <c r="G274" i="95" s="1"/>
  <c r="H274" i="95"/>
  <c r="I274" i="95"/>
  <c r="J274" i="95"/>
  <c r="F275" i="95"/>
  <c r="G275" i="95" s="1"/>
  <c r="H275" i="95"/>
  <c r="I275" i="95"/>
  <c r="J275" i="95"/>
  <c r="F276" i="95"/>
  <c r="G276" i="95" s="1"/>
  <c r="H276" i="95"/>
  <c r="I276" i="95"/>
  <c r="J276" i="95"/>
  <c r="F277" i="95"/>
  <c r="G277" i="95" s="1"/>
  <c r="H277" i="95"/>
  <c r="I277" i="95"/>
  <c r="J277" i="95"/>
  <c r="F278" i="95"/>
  <c r="G278" i="95" s="1"/>
  <c r="H278" i="95"/>
  <c r="I278" i="95"/>
  <c r="J278" i="95"/>
  <c r="F279" i="95"/>
  <c r="G279" i="95" s="1"/>
  <c r="H279" i="95"/>
  <c r="I279" i="95"/>
  <c r="J279" i="95"/>
  <c r="F280" i="95"/>
  <c r="G280" i="95" s="1"/>
  <c r="H280" i="95"/>
  <c r="I280" i="95"/>
  <c r="J280" i="95"/>
  <c r="F281" i="95"/>
  <c r="G281" i="95" s="1"/>
  <c r="H281" i="95"/>
  <c r="I281" i="95"/>
  <c r="J281" i="95"/>
  <c r="F282" i="95"/>
  <c r="G282" i="95" s="1"/>
  <c r="H282" i="95"/>
  <c r="I282" i="95"/>
  <c r="J282" i="95"/>
  <c r="F283" i="95"/>
  <c r="G283" i="95" s="1"/>
  <c r="H283" i="95"/>
  <c r="I283" i="95"/>
  <c r="J283" i="95"/>
  <c r="H285" i="95"/>
  <c r="I285" i="95"/>
  <c r="J285" i="95"/>
  <c r="H286" i="95"/>
  <c r="I286" i="95"/>
  <c r="J286" i="95"/>
  <c r="J284" i="95"/>
  <c r="I284" i="95"/>
  <c r="H284" i="95"/>
  <c r="C108" i="95"/>
  <c r="D108" i="95"/>
  <c r="C109" i="95"/>
  <c r="D109" i="95"/>
  <c r="C110" i="95"/>
  <c r="D110" i="95"/>
  <c r="C111" i="95"/>
  <c r="D111" i="95"/>
  <c r="C112" i="95"/>
  <c r="D112" i="95"/>
  <c r="C113" i="95"/>
  <c r="D113" i="95"/>
  <c r="C114" i="95"/>
  <c r="D114" i="95"/>
  <c r="C115" i="95"/>
  <c r="D115" i="95"/>
  <c r="C116" i="95"/>
  <c r="D116" i="95"/>
  <c r="C117" i="95"/>
  <c r="D117" i="95"/>
  <c r="C118" i="95"/>
  <c r="D118" i="95"/>
  <c r="C119" i="95"/>
  <c r="D119" i="95"/>
  <c r="C120" i="95"/>
  <c r="D120" i="95"/>
  <c r="C121" i="95"/>
  <c r="D121" i="95"/>
  <c r="C122" i="95"/>
  <c r="D122" i="95"/>
  <c r="C123" i="95"/>
  <c r="D123" i="95"/>
  <c r="C124" i="95"/>
  <c r="D124" i="95"/>
  <c r="C125" i="95"/>
  <c r="D125" i="95"/>
  <c r="C126" i="95"/>
  <c r="D126" i="95"/>
  <c r="C127" i="95"/>
  <c r="D127" i="95"/>
  <c r="C128" i="95"/>
  <c r="D128" i="95"/>
  <c r="C129" i="95"/>
  <c r="D129" i="95"/>
  <c r="C130" i="95"/>
  <c r="D130" i="95"/>
  <c r="C131" i="95"/>
  <c r="D131" i="95"/>
  <c r="C132" i="95"/>
  <c r="D132" i="95"/>
  <c r="C133" i="95"/>
  <c r="D133" i="95"/>
  <c r="C134" i="95"/>
  <c r="D134" i="95"/>
  <c r="C135" i="95"/>
  <c r="D135" i="95"/>
  <c r="C136" i="95"/>
  <c r="D136" i="95"/>
  <c r="C137" i="95"/>
  <c r="D137" i="95"/>
  <c r="C138" i="95"/>
  <c r="D138" i="95"/>
  <c r="C139" i="95"/>
  <c r="D139" i="95"/>
  <c r="C140" i="95"/>
  <c r="D140" i="95"/>
  <c r="C141" i="95"/>
  <c r="D141" i="95"/>
  <c r="C142" i="95"/>
  <c r="D142" i="95"/>
  <c r="C143" i="95"/>
  <c r="D143" i="95"/>
  <c r="C144" i="95"/>
  <c r="D144" i="95"/>
  <c r="C145" i="95"/>
  <c r="D145" i="95"/>
  <c r="C146" i="95"/>
  <c r="D146" i="95"/>
  <c r="C147" i="95"/>
  <c r="D147" i="95"/>
  <c r="C148" i="95"/>
  <c r="D148" i="95"/>
  <c r="C149" i="95"/>
  <c r="D149" i="95"/>
  <c r="C150" i="95"/>
  <c r="D150" i="95"/>
  <c r="C151" i="95"/>
  <c r="D151" i="95"/>
  <c r="C152" i="95"/>
  <c r="D152" i="95"/>
  <c r="C153" i="95"/>
  <c r="D153" i="95"/>
  <c r="C154" i="95"/>
  <c r="D154" i="95"/>
  <c r="C155" i="95"/>
  <c r="D155" i="95"/>
  <c r="C156" i="95"/>
  <c r="D156" i="95"/>
  <c r="C157" i="95"/>
  <c r="D157" i="95"/>
  <c r="C158" i="95"/>
  <c r="D158" i="95"/>
  <c r="C159" i="95"/>
  <c r="D159" i="95"/>
  <c r="C160" i="95"/>
  <c r="D160" i="95"/>
  <c r="C161" i="95"/>
  <c r="D161" i="95"/>
  <c r="C162" i="95"/>
  <c r="D162" i="95"/>
  <c r="C163" i="95"/>
  <c r="D163" i="95"/>
  <c r="C164" i="95"/>
  <c r="D164" i="95"/>
  <c r="C165" i="95"/>
  <c r="D165" i="95"/>
  <c r="C166" i="95"/>
  <c r="D166" i="95"/>
  <c r="C167" i="95"/>
  <c r="D167" i="95"/>
  <c r="C168" i="95"/>
  <c r="D168" i="95"/>
  <c r="C169" i="95"/>
  <c r="D169" i="95"/>
  <c r="C170" i="95"/>
  <c r="D170" i="95"/>
  <c r="C171" i="95"/>
  <c r="D171" i="95"/>
  <c r="C172" i="95"/>
  <c r="D172" i="95"/>
  <c r="C173" i="95"/>
  <c r="D173" i="95"/>
  <c r="C174" i="95"/>
  <c r="D174" i="95"/>
  <c r="C175" i="95"/>
  <c r="D175" i="95"/>
  <c r="C176" i="95"/>
  <c r="D176" i="95"/>
  <c r="C177" i="95"/>
  <c r="D177" i="95"/>
  <c r="C178" i="95"/>
  <c r="D178" i="95"/>
  <c r="C179" i="95"/>
  <c r="D179" i="95"/>
  <c r="C180" i="95"/>
  <c r="D180" i="95"/>
  <c r="C181" i="95"/>
  <c r="D181" i="95"/>
  <c r="C182" i="95"/>
  <c r="D182" i="95"/>
  <c r="C183" i="95"/>
  <c r="D183" i="95"/>
  <c r="C184" i="95"/>
  <c r="D184" i="95"/>
  <c r="C185" i="95"/>
  <c r="D185" i="95"/>
  <c r="C186" i="95"/>
  <c r="D186" i="95"/>
  <c r="C187" i="95"/>
  <c r="D187" i="95"/>
  <c r="C188" i="95"/>
  <c r="D188" i="95"/>
  <c r="C189" i="95"/>
  <c r="D189" i="95"/>
  <c r="C190" i="95"/>
  <c r="D190" i="95"/>
  <c r="C191" i="95"/>
  <c r="D191" i="95"/>
  <c r="C192" i="95"/>
  <c r="D192" i="95"/>
  <c r="C193" i="95"/>
  <c r="D193" i="95"/>
  <c r="C194" i="95"/>
  <c r="D194" i="95"/>
  <c r="C195" i="95"/>
  <c r="D195" i="95"/>
  <c r="C196" i="95"/>
  <c r="D196" i="95"/>
  <c r="C197" i="95"/>
  <c r="D197" i="95"/>
  <c r="C198" i="95"/>
  <c r="D198" i="95"/>
  <c r="C199" i="95"/>
  <c r="D199" i="95"/>
  <c r="C200" i="95"/>
  <c r="D200" i="95"/>
  <c r="C201" i="95"/>
  <c r="D201" i="95"/>
  <c r="C202" i="95"/>
  <c r="D202" i="95"/>
  <c r="C203" i="95"/>
  <c r="D203" i="95"/>
  <c r="C204" i="95"/>
  <c r="D204" i="95"/>
  <c r="C205" i="95"/>
  <c r="D205" i="95"/>
  <c r="C206" i="95"/>
  <c r="D206" i="95"/>
  <c r="C207" i="95"/>
  <c r="D207" i="95"/>
  <c r="C208" i="95"/>
  <c r="D208" i="95"/>
  <c r="C209" i="95"/>
  <c r="D209" i="95"/>
  <c r="C210" i="95"/>
  <c r="D210" i="95"/>
  <c r="C211" i="95"/>
  <c r="D211" i="95"/>
  <c r="C212" i="95"/>
  <c r="D212" i="95"/>
  <c r="C213" i="95"/>
  <c r="D213" i="95"/>
  <c r="C214" i="95"/>
  <c r="D214" i="95"/>
  <c r="C215" i="95"/>
  <c r="D215" i="95"/>
  <c r="C216" i="95"/>
  <c r="D216" i="95"/>
  <c r="C217" i="95"/>
  <c r="D217" i="95"/>
  <c r="C218" i="95"/>
  <c r="D218" i="95"/>
  <c r="C219" i="95"/>
  <c r="D219" i="95"/>
  <c r="C220" i="95"/>
  <c r="D220" i="95"/>
  <c r="C221" i="95"/>
  <c r="D221" i="95"/>
  <c r="C222" i="95"/>
  <c r="D222" i="95"/>
  <c r="C223" i="95"/>
  <c r="D223" i="95"/>
  <c r="C224" i="95"/>
  <c r="D224" i="95"/>
  <c r="C225" i="95"/>
  <c r="D225" i="95"/>
  <c r="C226" i="95"/>
  <c r="D226" i="95"/>
  <c r="C227" i="95"/>
  <c r="D227" i="95"/>
  <c r="C228" i="95"/>
  <c r="D228" i="95"/>
  <c r="C229" i="95"/>
  <c r="D229" i="95"/>
  <c r="C230" i="95"/>
  <c r="D230" i="95"/>
  <c r="C231" i="95"/>
  <c r="D231" i="95"/>
  <c r="C232" i="95"/>
  <c r="D232" i="95"/>
  <c r="C233" i="95"/>
  <c r="D233" i="95"/>
  <c r="C234" i="95"/>
  <c r="D234" i="95"/>
  <c r="C235" i="95"/>
  <c r="D235" i="95"/>
  <c r="C236" i="95"/>
  <c r="D236" i="95"/>
  <c r="C237" i="95"/>
  <c r="D237" i="95"/>
  <c r="C238" i="95"/>
  <c r="D238" i="95"/>
  <c r="C239" i="95"/>
  <c r="D239" i="95"/>
  <c r="C240" i="95"/>
  <c r="D240" i="95"/>
  <c r="C241" i="95"/>
  <c r="D241" i="95"/>
  <c r="C242" i="95"/>
  <c r="D242" i="95"/>
  <c r="C243" i="95"/>
  <c r="D243" i="95"/>
  <c r="C244" i="95"/>
  <c r="D244" i="95"/>
  <c r="C245" i="95"/>
  <c r="D245" i="95"/>
  <c r="C246" i="95"/>
  <c r="D246" i="95"/>
  <c r="C247" i="95"/>
  <c r="D247" i="95"/>
  <c r="C248" i="95"/>
  <c r="D248" i="95"/>
  <c r="C249" i="95"/>
  <c r="D249" i="95"/>
  <c r="C250" i="95"/>
  <c r="D250" i="95"/>
  <c r="C251" i="95"/>
  <c r="D251" i="95"/>
  <c r="C252" i="95"/>
  <c r="D252" i="95"/>
  <c r="C253" i="95"/>
  <c r="D253" i="95"/>
  <c r="C254" i="95"/>
  <c r="D254" i="95"/>
  <c r="C255" i="95"/>
  <c r="D255" i="95"/>
  <c r="C256" i="95"/>
  <c r="D256" i="95"/>
  <c r="C257" i="95"/>
  <c r="D257" i="95"/>
  <c r="C258" i="95"/>
  <c r="D258" i="95"/>
  <c r="C259" i="95"/>
  <c r="D259" i="95"/>
  <c r="C260" i="95"/>
  <c r="D260" i="95"/>
  <c r="C261" i="95"/>
  <c r="D261" i="95"/>
  <c r="C262" i="95"/>
  <c r="D262" i="95"/>
  <c r="C263" i="95"/>
  <c r="D263" i="95"/>
  <c r="C264" i="95"/>
  <c r="D264" i="95"/>
  <c r="C265" i="95"/>
  <c r="D265" i="95"/>
  <c r="C266" i="95"/>
  <c r="D266" i="95"/>
  <c r="C267" i="95"/>
  <c r="D267" i="95"/>
  <c r="C268" i="95"/>
  <c r="D268" i="95"/>
  <c r="C269" i="95"/>
  <c r="D269" i="95"/>
  <c r="C270" i="95"/>
  <c r="D270" i="95"/>
  <c r="C271" i="95"/>
  <c r="D271" i="95"/>
  <c r="C272" i="95"/>
  <c r="D272" i="95"/>
  <c r="C273" i="95"/>
  <c r="D273" i="95"/>
  <c r="C274" i="95"/>
  <c r="D274" i="95"/>
  <c r="C275" i="95"/>
  <c r="D275" i="95"/>
  <c r="C276" i="95"/>
  <c r="D276" i="95"/>
  <c r="C277" i="95"/>
  <c r="D277" i="95"/>
  <c r="C278" i="95"/>
  <c r="D278" i="95"/>
  <c r="C279" i="95"/>
  <c r="D279" i="95"/>
  <c r="C280" i="95"/>
  <c r="D280" i="95"/>
  <c r="C281" i="95"/>
  <c r="D281" i="95"/>
  <c r="C282" i="95"/>
  <c r="D282" i="95"/>
  <c r="C283" i="95"/>
  <c r="D283" i="95"/>
  <c r="E285" i="95"/>
  <c r="E286" i="95"/>
  <c r="E108" i="95"/>
  <c r="E109" i="95"/>
  <c r="E110" i="95"/>
  <c r="E111" i="95"/>
  <c r="E112" i="95"/>
  <c r="E113" i="95"/>
  <c r="E114" i="95"/>
  <c r="E115" i="95"/>
  <c r="E116" i="95"/>
  <c r="E117" i="95"/>
  <c r="E118" i="95"/>
  <c r="E119" i="95"/>
  <c r="E120" i="95"/>
  <c r="E121" i="95"/>
  <c r="E122" i="95"/>
  <c r="E123" i="95"/>
  <c r="E124" i="95"/>
  <c r="E125" i="95"/>
  <c r="E126" i="95"/>
  <c r="E127" i="95"/>
  <c r="E128" i="95"/>
  <c r="E129" i="95"/>
  <c r="E130" i="95"/>
  <c r="E131" i="95"/>
  <c r="E132" i="95"/>
  <c r="E133" i="95"/>
  <c r="E134" i="95"/>
  <c r="E135" i="95"/>
  <c r="E136" i="95"/>
  <c r="E137" i="95"/>
  <c r="E138" i="95"/>
  <c r="E139" i="95"/>
  <c r="E140" i="95"/>
  <c r="E141" i="95"/>
  <c r="E142" i="95"/>
  <c r="E143" i="95"/>
  <c r="E144" i="95"/>
  <c r="E145" i="95"/>
  <c r="E146" i="95"/>
  <c r="E147" i="95"/>
  <c r="E148" i="95"/>
  <c r="E149" i="95"/>
  <c r="E150" i="95"/>
  <c r="E151" i="95"/>
  <c r="E152" i="95"/>
  <c r="E153" i="95"/>
  <c r="E154" i="95"/>
  <c r="E155" i="95"/>
  <c r="E156" i="95"/>
  <c r="E157" i="95"/>
  <c r="E158" i="95"/>
  <c r="E159" i="95"/>
  <c r="E160" i="95"/>
  <c r="E161" i="95"/>
  <c r="E162" i="95"/>
  <c r="E163" i="95"/>
  <c r="E164" i="95"/>
  <c r="E165" i="95"/>
  <c r="E166" i="95"/>
  <c r="E167" i="95"/>
  <c r="E168" i="95"/>
  <c r="E169" i="95"/>
  <c r="E170" i="95"/>
  <c r="E171" i="95"/>
  <c r="E172" i="95"/>
  <c r="E173" i="95"/>
  <c r="E174" i="95"/>
  <c r="E175" i="95"/>
  <c r="E176" i="95"/>
  <c r="E177" i="95"/>
  <c r="E178" i="95"/>
  <c r="E179" i="95"/>
  <c r="E180" i="95"/>
  <c r="E181" i="95"/>
  <c r="E182" i="95"/>
  <c r="E183" i="95"/>
  <c r="E184" i="95"/>
  <c r="E185" i="95"/>
  <c r="E186" i="95"/>
  <c r="E187" i="95"/>
  <c r="E188" i="95"/>
  <c r="E189" i="95"/>
  <c r="E190" i="95"/>
  <c r="E191" i="95"/>
  <c r="E192" i="95"/>
  <c r="E193" i="95"/>
  <c r="E194" i="95"/>
  <c r="E195" i="95"/>
  <c r="E196" i="95"/>
  <c r="E197" i="95"/>
  <c r="E198" i="95"/>
  <c r="E199" i="95"/>
  <c r="E200" i="95"/>
  <c r="E201" i="95"/>
  <c r="E202" i="95"/>
  <c r="E203" i="95"/>
  <c r="E204" i="95"/>
  <c r="E205" i="95"/>
  <c r="E206" i="95"/>
  <c r="E207" i="95"/>
  <c r="E208" i="95"/>
  <c r="E209" i="95"/>
  <c r="E210" i="95"/>
  <c r="E211" i="95"/>
  <c r="E212" i="95"/>
  <c r="E213" i="95"/>
  <c r="E214" i="95"/>
  <c r="E215" i="95"/>
  <c r="E216" i="95"/>
  <c r="E217" i="95"/>
  <c r="E218" i="95"/>
  <c r="E219" i="95"/>
  <c r="E220" i="95"/>
  <c r="E221" i="95"/>
  <c r="E222" i="95"/>
  <c r="E223" i="95"/>
  <c r="E224" i="95"/>
  <c r="E225" i="95"/>
  <c r="E226" i="95"/>
  <c r="E227" i="95"/>
  <c r="E228" i="95"/>
  <c r="E229" i="95"/>
  <c r="E230" i="95"/>
  <c r="E231" i="95"/>
  <c r="E232" i="95"/>
  <c r="E233" i="95"/>
  <c r="E234" i="95"/>
  <c r="E235" i="95"/>
  <c r="E236" i="95"/>
  <c r="E237" i="95"/>
  <c r="E238" i="95"/>
  <c r="E239" i="95"/>
  <c r="E240" i="95"/>
  <c r="E241" i="95"/>
  <c r="E242" i="95"/>
  <c r="E243" i="95"/>
  <c r="E244" i="95"/>
  <c r="E245" i="95"/>
  <c r="E246" i="95"/>
  <c r="E247" i="95"/>
  <c r="E248" i="95"/>
  <c r="E249" i="95"/>
  <c r="E250" i="95"/>
  <c r="E251" i="95"/>
  <c r="E252" i="95"/>
  <c r="E253" i="95"/>
  <c r="E254" i="95"/>
  <c r="E255" i="95"/>
  <c r="E256" i="95"/>
  <c r="E257" i="95"/>
  <c r="E258" i="95"/>
  <c r="E259" i="95"/>
  <c r="E260" i="95"/>
  <c r="E261" i="95"/>
  <c r="E262" i="95"/>
  <c r="E263" i="95"/>
  <c r="E264" i="95"/>
  <c r="E265" i="95"/>
  <c r="E266" i="95"/>
  <c r="E267" i="95"/>
  <c r="E268" i="95"/>
  <c r="E269" i="95"/>
  <c r="E270" i="95"/>
  <c r="E271" i="95"/>
  <c r="E272" i="95"/>
  <c r="E273" i="95"/>
  <c r="E274" i="95"/>
  <c r="E275" i="95"/>
  <c r="E276" i="95"/>
  <c r="E277" i="95"/>
  <c r="E278" i="95"/>
  <c r="E279" i="95"/>
  <c r="E280" i="95"/>
  <c r="E281" i="95"/>
  <c r="E282" i="95"/>
  <c r="E283" i="95"/>
  <c r="F285" i="95"/>
  <c r="G285" i="95" s="1"/>
  <c r="F286" i="95"/>
  <c r="G286" i="95" s="1"/>
  <c r="F284" i="95"/>
  <c r="G284" i="95" s="1"/>
  <c r="E284" i="95"/>
  <c r="D285" i="95"/>
  <c r="D286" i="95"/>
  <c r="D284" i="95"/>
  <c r="C284" i="95"/>
  <c r="C285" i="95"/>
  <c r="C286" i="95"/>
  <c r="K140" i="95" l="1"/>
  <c r="K227" i="95"/>
  <c r="K215" i="95"/>
  <c r="K165" i="95"/>
  <c r="K153" i="95"/>
  <c r="K147" i="95"/>
  <c r="K129" i="95"/>
  <c r="K226" i="95"/>
  <c r="K124" i="95"/>
  <c r="K222" i="95"/>
  <c r="K216" i="95"/>
  <c r="K229" i="95"/>
  <c r="K173" i="95"/>
  <c r="K143" i="95"/>
  <c r="K137" i="95"/>
  <c r="K131" i="95"/>
  <c r="K145" i="95"/>
  <c r="K127" i="95"/>
  <c r="K123" i="95"/>
  <c r="K83" i="95"/>
  <c r="K79" i="95"/>
  <c r="K77" i="95"/>
  <c r="K75" i="95"/>
  <c r="K73" i="95"/>
  <c r="K71" i="95"/>
  <c r="K69" i="95"/>
  <c r="K67" i="95"/>
  <c r="K65" i="95"/>
  <c r="K63" i="95"/>
  <c r="K61" i="95"/>
  <c r="K59" i="95"/>
  <c r="K57" i="95"/>
  <c r="K55" i="95"/>
  <c r="K53" i="95"/>
  <c r="K51" i="95"/>
  <c r="K49" i="95"/>
  <c r="K47" i="95"/>
  <c r="K45" i="95"/>
  <c r="K43" i="95"/>
  <c r="K41" i="95"/>
  <c r="K39" i="95"/>
  <c r="K37" i="95"/>
  <c r="K35" i="95"/>
  <c r="K33" i="95"/>
  <c r="K31" i="95"/>
  <c r="K29" i="95"/>
  <c r="K27" i="95"/>
  <c r="K25" i="95"/>
  <c r="K23" i="95"/>
  <c r="K21" i="95"/>
  <c r="K19" i="95"/>
  <c r="K17" i="95"/>
  <c r="K15" i="95"/>
  <c r="K13" i="95"/>
  <c r="K11" i="95"/>
  <c r="K9" i="95"/>
  <c r="K7" i="95"/>
  <c r="K5" i="95"/>
  <c r="K3" i="95"/>
  <c r="K254" i="95"/>
  <c r="K242" i="95"/>
  <c r="K240" i="95"/>
  <c r="K241" i="95"/>
  <c r="K214" i="95"/>
  <c r="K206" i="95"/>
  <c r="K202" i="95"/>
  <c r="K198" i="95"/>
  <c r="K174" i="95"/>
  <c r="K170" i="95"/>
  <c r="K168" i="95"/>
  <c r="K205" i="95"/>
  <c r="K201" i="95"/>
  <c r="K122" i="95"/>
  <c r="K120" i="95"/>
  <c r="K118" i="95"/>
  <c r="K116" i="95"/>
  <c r="K114" i="95"/>
  <c r="K112" i="95"/>
  <c r="K110" i="95"/>
  <c r="K108" i="95"/>
  <c r="K106" i="95"/>
  <c r="K104" i="95"/>
  <c r="K102" i="95"/>
  <c r="K100" i="95"/>
  <c r="K98" i="95"/>
  <c r="K96" i="95"/>
  <c r="K94" i="95"/>
  <c r="K92" i="95"/>
  <c r="K90" i="95"/>
  <c r="K88" i="95"/>
  <c r="K86" i="95"/>
  <c r="K84" i="95"/>
  <c r="K82" i="95"/>
  <c r="K80" i="95"/>
  <c r="K78" i="95"/>
  <c r="K76" i="95"/>
  <c r="K74" i="95"/>
  <c r="K72" i="95"/>
  <c r="K70" i="95"/>
  <c r="K68" i="95"/>
  <c r="K66" i="95"/>
  <c r="K64" i="95"/>
  <c r="K62" i="95"/>
  <c r="K60" i="95"/>
  <c r="K58" i="95"/>
  <c r="K56" i="95"/>
  <c r="K54" i="95"/>
  <c r="K52" i="95"/>
  <c r="K50" i="95"/>
  <c r="K48" i="95"/>
  <c r="K46" i="95"/>
  <c r="K44" i="95"/>
  <c r="K42" i="95"/>
  <c r="K40" i="95"/>
  <c r="K38" i="95"/>
  <c r="K36" i="95"/>
  <c r="K34" i="95"/>
  <c r="K32" i="95"/>
  <c r="K30" i="95"/>
  <c r="K28" i="95"/>
  <c r="K26" i="95"/>
  <c r="K24" i="95"/>
  <c r="K22" i="95"/>
  <c r="K20" i="95"/>
  <c r="K18" i="95"/>
  <c r="K16" i="95"/>
  <c r="K14" i="95"/>
  <c r="K12" i="95"/>
  <c r="K10" i="95"/>
  <c r="K8" i="95"/>
  <c r="K6" i="95"/>
  <c r="K4" i="95"/>
  <c r="K2" i="95"/>
  <c r="K261" i="95"/>
  <c r="K193" i="95"/>
  <c r="K189" i="95"/>
  <c r="K185" i="95"/>
  <c r="K181" i="95"/>
  <c r="K179" i="95"/>
  <c r="K166" i="95"/>
  <c r="K253" i="95"/>
  <c r="K232" i="95"/>
  <c r="K230" i="95"/>
  <c r="K177" i="95"/>
  <c r="K247" i="95"/>
  <c r="K245" i="95"/>
  <c r="K280" i="95"/>
  <c r="K278" i="95"/>
  <c r="K274" i="95"/>
  <c r="K272" i="95"/>
  <c r="K268" i="95"/>
  <c r="K266" i="95"/>
  <c r="K262" i="95"/>
  <c r="K258" i="95"/>
  <c r="K265" i="95"/>
  <c r="K263" i="95"/>
  <c r="K250" i="95"/>
  <c r="K248" i="95"/>
  <c r="K289" i="95"/>
  <c r="L289" i="95" s="1"/>
  <c r="K276" i="95"/>
  <c r="K257" i="95"/>
  <c r="K237" i="95"/>
  <c r="K233" i="95"/>
  <c r="K217" i="95"/>
  <c r="K264" i="95"/>
  <c r="K287" i="95"/>
  <c r="L287" i="95" s="1"/>
  <c r="M287" i="95" s="1"/>
  <c r="K236" i="95"/>
  <c r="K213" i="95"/>
  <c r="K209" i="95"/>
  <c r="K190" i="95"/>
  <c r="K164" i="95"/>
  <c r="K156" i="95"/>
  <c r="K154" i="95"/>
  <c r="K152" i="95"/>
  <c r="K150" i="95"/>
  <c r="K148" i="95"/>
  <c r="K146" i="95"/>
  <c r="K291" i="95"/>
  <c r="L291" i="95" s="1"/>
  <c r="M291" i="95" s="1"/>
  <c r="K220" i="95"/>
  <c r="K186" i="95"/>
  <c r="K169" i="95"/>
  <c r="K292" i="95"/>
  <c r="L292" i="95" s="1"/>
  <c r="M292" i="95" s="1"/>
  <c r="K277" i="95"/>
  <c r="K275" i="95"/>
  <c r="K252" i="95"/>
  <c r="K218" i="95"/>
  <c r="K199" i="95"/>
  <c r="K197" i="95"/>
  <c r="K195" i="95"/>
  <c r="K182" i="95"/>
  <c r="K167" i="95"/>
  <c r="K161" i="95"/>
  <c r="K269" i="95"/>
  <c r="K246" i="95"/>
  <c r="K231" i="95"/>
  <c r="K212" i="95"/>
  <c r="K210" i="95"/>
  <c r="K194" i="95"/>
  <c r="K178" i="95"/>
  <c r="K159" i="95"/>
  <c r="K293" i="95"/>
  <c r="L293" i="95" s="1"/>
  <c r="K288" i="95"/>
  <c r="L288" i="95" s="1"/>
  <c r="M288" i="95" s="1"/>
  <c r="K270" i="95"/>
  <c r="K259" i="95"/>
  <c r="K249" i="95"/>
  <c r="K234" i="95"/>
  <c r="K225" i="95"/>
  <c r="K273" i="95"/>
  <c r="K238" i="95"/>
  <c r="K221" i="95"/>
  <c r="K290" i="95"/>
  <c r="L290" i="95" s="1"/>
  <c r="K281" i="95"/>
  <c r="K256" i="95"/>
  <c r="K243" i="95"/>
  <c r="K228" i="95"/>
  <c r="K224" i="95"/>
  <c r="K203" i="95"/>
  <c r="K196" i="95"/>
  <c r="K187" i="95"/>
  <c r="K180" i="95"/>
  <c r="K138" i="95"/>
  <c r="K136" i="95"/>
  <c r="K134" i="95"/>
  <c r="K279" i="95"/>
  <c r="K282" i="95"/>
  <c r="K244" i="95"/>
  <c r="K260" i="95"/>
  <c r="K207" i="95"/>
  <c r="K200" i="95"/>
  <c r="K191" i="95"/>
  <c r="K184" i="95"/>
  <c r="K175" i="95"/>
  <c r="K139" i="95"/>
  <c r="K251" i="95"/>
  <c r="K235" i="95"/>
  <c r="K219" i="95"/>
  <c r="K160" i="95"/>
  <c r="K267" i="95"/>
  <c r="K144" i="95"/>
  <c r="K283" i="95"/>
  <c r="K271" i="95"/>
  <c r="K255" i="95"/>
  <c r="K239" i="95"/>
  <c r="K223" i="95"/>
  <c r="K208" i="95"/>
  <c r="K192" i="95"/>
  <c r="K183" i="95"/>
  <c r="K176" i="95"/>
  <c r="K132" i="95"/>
  <c r="K130" i="95"/>
  <c r="K211" i="95"/>
  <c r="K128" i="95"/>
  <c r="K204" i="95"/>
  <c r="K188" i="95"/>
  <c r="K172" i="95"/>
  <c r="K155" i="95"/>
  <c r="K171" i="95"/>
  <c r="K162" i="95"/>
  <c r="K157" i="95"/>
  <c r="K141" i="95"/>
  <c r="K125" i="95"/>
  <c r="K121" i="95"/>
  <c r="K119" i="95"/>
  <c r="K117" i="95"/>
  <c r="K115" i="95"/>
  <c r="K113" i="95"/>
  <c r="K111" i="95"/>
  <c r="K109" i="95"/>
  <c r="K107" i="95"/>
  <c r="K105" i="95"/>
  <c r="K103" i="95"/>
  <c r="K101" i="95"/>
  <c r="K99" i="95"/>
  <c r="K97" i="95"/>
  <c r="K95" i="95"/>
  <c r="K93" i="95"/>
  <c r="K91" i="95"/>
  <c r="K89" i="95"/>
  <c r="K87" i="95"/>
  <c r="K85" i="95"/>
  <c r="K81" i="95"/>
  <c r="K163" i="95"/>
  <c r="K158" i="95"/>
  <c r="K151" i="95"/>
  <c r="K142" i="95"/>
  <c r="K135" i="95"/>
  <c r="K126" i="95"/>
  <c r="K149" i="95"/>
  <c r="K133" i="95"/>
  <c r="K285" i="95"/>
  <c r="L285" i="95" s="1"/>
  <c r="M285" i="95" s="1"/>
  <c r="K286" i="95"/>
  <c r="L286" i="95" s="1"/>
  <c r="M286" i="95" s="1"/>
  <c r="N286" i="95" s="1"/>
  <c r="M289" i="95" l="1"/>
  <c r="N289" i="95" s="1"/>
  <c r="M290" i="95"/>
  <c r="N290" i="95" s="1"/>
  <c r="M293" i="95"/>
  <c r="O293" i="95" s="1"/>
  <c r="O292" i="95"/>
  <c r="N292" i="95"/>
  <c r="O288" i="95"/>
  <c r="N288" i="95"/>
  <c r="O287" i="95"/>
  <c r="N287" i="95"/>
  <c r="O291" i="95"/>
  <c r="N291" i="95"/>
  <c r="O286" i="95"/>
  <c r="P286" i="95" s="1"/>
  <c r="N285" i="95"/>
  <c r="O285" i="95"/>
  <c r="P287" i="95" l="1"/>
  <c r="Q287" i="95" s="1"/>
  <c r="S287" i="95" s="1"/>
  <c r="P292" i="95"/>
  <c r="Q292" i="95" s="1"/>
  <c r="S292" i="95" s="1"/>
  <c r="O290" i="95"/>
  <c r="P290" i="95" s="1"/>
  <c r="Q290" i="95" s="1"/>
  <c r="S290" i="95" s="1"/>
  <c r="O289" i="95"/>
  <c r="P289" i="95" s="1"/>
  <c r="Q289" i="95" s="1"/>
  <c r="S289" i="95" s="1"/>
  <c r="N293" i="95"/>
  <c r="P293" i="95" s="1"/>
  <c r="P288" i="95"/>
  <c r="Q288" i="95" s="1"/>
  <c r="S288" i="95" s="1"/>
  <c r="P291" i="95"/>
  <c r="Q291" i="95" s="1"/>
  <c r="S291" i="95" s="1"/>
  <c r="Q286" i="95"/>
  <c r="S286" i="95" s="1"/>
  <c r="P285" i="95"/>
  <c r="Q285" i="95" s="1"/>
  <c r="S285" i="95" s="1"/>
  <c r="Q293" i="95" l="1"/>
  <c r="S293" i="95" s="1"/>
  <c r="K375" i="93" l="1"/>
  <c r="K372" i="93"/>
  <c r="K373" i="93"/>
  <c r="K374" i="93"/>
  <c r="H3" i="93"/>
  <c r="H4" i="93"/>
  <c r="H5" i="93"/>
  <c r="H6" i="93"/>
  <c r="H7" i="93"/>
  <c r="H8" i="93"/>
  <c r="H9" i="93"/>
  <c r="H10" i="93"/>
  <c r="H11" i="93"/>
  <c r="H12" i="93"/>
  <c r="H13" i="93"/>
  <c r="H14" i="93"/>
  <c r="H15" i="93"/>
  <c r="H16" i="93"/>
  <c r="H17" i="93"/>
  <c r="H18" i="93"/>
  <c r="H19" i="93"/>
  <c r="H20" i="93"/>
  <c r="H21" i="93"/>
  <c r="H22" i="93"/>
  <c r="H23" i="93"/>
  <c r="H24" i="93"/>
  <c r="H25" i="93"/>
  <c r="H26" i="93"/>
  <c r="H27" i="93"/>
  <c r="H28" i="93"/>
  <c r="H29" i="93"/>
  <c r="H30" i="93"/>
  <c r="H31" i="93"/>
  <c r="H32" i="93"/>
  <c r="H33" i="93"/>
  <c r="H34" i="93"/>
  <c r="H35" i="93"/>
  <c r="H36" i="93"/>
  <c r="H37" i="93"/>
  <c r="H38" i="93"/>
  <c r="H39" i="93"/>
  <c r="H40" i="93"/>
  <c r="H41" i="93"/>
  <c r="H42" i="93"/>
  <c r="H43" i="93"/>
  <c r="H44" i="93"/>
  <c r="H45" i="93"/>
  <c r="H46" i="93"/>
  <c r="H47" i="93"/>
  <c r="H48" i="93"/>
  <c r="H49" i="93"/>
  <c r="H50" i="93"/>
  <c r="H51" i="93"/>
  <c r="H52" i="93"/>
  <c r="H53" i="93"/>
  <c r="H54" i="93"/>
  <c r="H55" i="93"/>
  <c r="H56" i="93"/>
  <c r="H57" i="93"/>
  <c r="H58" i="93"/>
  <c r="H59" i="93"/>
  <c r="H60" i="93"/>
  <c r="H61" i="93"/>
  <c r="H62" i="93"/>
  <c r="H63" i="93"/>
  <c r="H64" i="93"/>
  <c r="H65" i="93"/>
  <c r="H66" i="93"/>
  <c r="H67" i="93"/>
  <c r="H68" i="93"/>
  <c r="H69" i="93"/>
  <c r="H70" i="93"/>
  <c r="H71" i="93"/>
  <c r="H72" i="93"/>
  <c r="H73" i="93"/>
  <c r="H74" i="93"/>
  <c r="H75" i="93"/>
  <c r="H76" i="93"/>
  <c r="H77" i="93"/>
  <c r="H78" i="93"/>
  <c r="H79" i="93"/>
  <c r="H80" i="93"/>
  <c r="H81" i="93"/>
  <c r="H82" i="93"/>
  <c r="H83" i="93"/>
  <c r="H84" i="93"/>
  <c r="H85" i="93"/>
  <c r="H86" i="93"/>
  <c r="H87" i="93"/>
  <c r="H88" i="93"/>
  <c r="H89" i="93"/>
  <c r="H90" i="93"/>
  <c r="H91" i="93"/>
  <c r="H92" i="93"/>
  <c r="H93" i="93"/>
  <c r="H94" i="93"/>
  <c r="H95" i="93"/>
  <c r="H96" i="93"/>
  <c r="H97" i="93"/>
  <c r="H98" i="93"/>
  <c r="H99" i="93"/>
  <c r="H100" i="93"/>
  <c r="H101" i="93"/>
  <c r="H102" i="93"/>
  <c r="H103" i="93"/>
  <c r="H104" i="93"/>
  <c r="H105" i="93"/>
  <c r="H106" i="93"/>
  <c r="H107" i="93"/>
  <c r="H108" i="93"/>
  <c r="H109" i="93"/>
  <c r="H110" i="93"/>
  <c r="H111" i="93"/>
  <c r="H112" i="93"/>
  <c r="H113" i="93"/>
  <c r="H114" i="93"/>
  <c r="H115" i="93"/>
  <c r="H116" i="93"/>
  <c r="H117" i="93"/>
  <c r="H118" i="93"/>
  <c r="H119" i="93"/>
  <c r="H120" i="93"/>
  <c r="H121" i="93"/>
  <c r="H122" i="93"/>
  <c r="H123" i="93"/>
  <c r="H124" i="93"/>
  <c r="H125" i="93"/>
  <c r="H126" i="93"/>
  <c r="H127" i="93"/>
  <c r="H128" i="93"/>
  <c r="H129" i="93"/>
  <c r="H130" i="93"/>
  <c r="H131" i="93"/>
  <c r="H132" i="93"/>
  <c r="H133" i="93"/>
  <c r="H134" i="93"/>
  <c r="H135" i="93"/>
  <c r="H136" i="93"/>
  <c r="H137" i="93"/>
  <c r="H138" i="93"/>
  <c r="H139" i="93"/>
  <c r="H140" i="93"/>
  <c r="H141" i="93"/>
  <c r="H142" i="93"/>
  <c r="H143" i="93"/>
  <c r="H144" i="93"/>
  <c r="H145" i="93"/>
  <c r="H146" i="93"/>
  <c r="H147" i="93"/>
  <c r="H148" i="93"/>
  <c r="H149" i="93"/>
  <c r="H150" i="93"/>
  <c r="H151" i="93"/>
  <c r="H152" i="93"/>
  <c r="H153" i="93"/>
  <c r="H154" i="93"/>
  <c r="H155" i="93"/>
  <c r="H156" i="93"/>
  <c r="H157" i="93"/>
  <c r="H158" i="93"/>
  <c r="H159" i="93"/>
  <c r="H160" i="93"/>
  <c r="H161" i="93"/>
  <c r="H162" i="93"/>
  <c r="H163" i="93"/>
  <c r="H164" i="93"/>
  <c r="H165" i="93"/>
  <c r="H166" i="93"/>
  <c r="H167" i="93"/>
  <c r="H168" i="93"/>
  <c r="H169" i="93"/>
  <c r="H170" i="93"/>
  <c r="H171" i="93"/>
  <c r="H172" i="93"/>
  <c r="H173" i="93"/>
  <c r="H174" i="93"/>
  <c r="H175" i="93"/>
  <c r="H176" i="93"/>
  <c r="H177" i="93"/>
  <c r="H178" i="93"/>
  <c r="H179" i="93"/>
  <c r="H180" i="93"/>
  <c r="H181" i="93"/>
  <c r="H182" i="93"/>
  <c r="H183" i="93"/>
  <c r="H184" i="93"/>
  <c r="H185" i="93"/>
  <c r="H186" i="93"/>
  <c r="H187" i="93"/>
  <c r="H188" i="93"/>
  <c r="H189" i="93"/>
  <c r="H190" i="93"/>
  <c r="H191" i="93"/>
  <c r="H192" i="93"/>
  <c r="H193" i="93"/>
  <c r="H194" i="93"/>
  <c r="H195" i="93"/>
  <c r="H196" i="93"/>
  <c r="H197" i="93"/>
  <c r="H198" i="93"/>
  <c r="H199" i="93"/>
  <c r="H200" i="93"/>
  <c r="H201" i="93"/>
  <c r="H202" i="93"/>
  <c r="H203" i="93"/>
  <c r="H204" i="93"/>
  <c r="H205" i="93"/>
  <c r="H206" i="93"/>
  <c r="H207" i="93"/>
  <c r="H208" i="93"/>
  <c r="H209" i="93"/>
  <c r="H210" i="93"/>
  <c r="H211" i="93"/>
  <c r="H212" i="93"/>
  <c r="H213" i="93"/>
  <c r="H214" i="93"/>
  <c r="H215" i="93"/>
  <c r="H216" i="93"/>
  <c r="H217" i="93"/>
  <c r="H218" i="93"/>
  <c r="H219" i="93"/>
  <c r="H220" i="93"/>
  <c r="H221" i="93"/>
  <c r="H222" i="93"/>
  <c r="H223" i="93"/>
  <c r="H224" i="93"/>
  <c r="H225" i="93"/>
  <c r="H226" i="93"/>
  <c r="H227" i="93"/>
  <c r="H228" i="93"/>
  <c r="H229" i="93"/>
  <c r="H230" i="93"/>
  <c r="H231" i="93"/>
  <c r="H232" i="93"/>
  <c r="H233" i="93"/>
  <c r="H234" i="93"/>
  <c r="H235" i="93"/>
  <c r="H236" i="93"/>
  <c r="H237" i="93"/>
  <c r="H238" i="93"/>
  <c r="H239" i="93"/>
  <c r="H240" i="93"/>
  <c r="H241" i="93"/>
  <c r="H242" i="93"/>
  <c r="H243" i="93"/>
  <c r="H244" i="93"/>
  <c r="H245" i="93"/>
  <c r="H246" i="93"/>
  <c r="H247" i="93"/>
  <c r="H248" i="93"/>
  <c r="H249" i="93"/>
  <c r="H250" i="93"/>
  <c r="H251" i="93"/>
  <c r="H252" i="93"/>
  <c r="H253" i="93"/>
  <c r="H254" i="93"/>
  <c r="H255" i="93"/>
  <c r="H256" i="93"/>
  <c r="H257" i="93"/>
  <c r="H258" i="93"/>
  <c r="H259" i="93"/>
  <c r="H260" i="93"/>
  <c r="H261" i="93"/>
  <c r="H262" i="93"/>
  <c r="H263" i="93"/>
  <c r="H264" i="93"/>
  <c r="H265" i="93"/>
  <c r="H266" i="93"/>
  <c r="H267" i="93"/>
  <c r="H268" i="93"/>
  <c r="H269" i="93"/>
  <c r="H270" i="93"/>
  <c r="H271" i="93"/>
  <c r="H272" i="93"/>
  <c r="H273" i="93"/>
  <c r="H274" i="93"/>
  <c r="H275" i="93"/>
  <c r="H276" i="93"/>
  <c r="H277" i="93"/>
  <c r="H278" i="93"/>
  <c r="H279" i="93"/>
  <c r="H280" i="93"/>
  <c r="H281" i="93"/>
  <c r="H282" i="93"/>
  <c r="H283" i="93"/>
  <c r="H284" i="93"/>
  <c r="H285" i="93"/>
  <c r="H286" i="93"/>
  <c r="H287" i="93"/>
  <c r="H288" i="93"/>
  <c r="H289" i="93"/>
  <c r="H290" i="93"/>
  <c r="H291" i="93"/>
  <c r="H292" i="93"/>
  <c r="H293" i="93"/>
  <c r="H294" i="93"/>
  <c r="H295" i="93"/>
  <c r="H296" i="93"/>
  <c r="H297" i="93"/>
  <c r="H298" i="93"/>
  <c r="H299" i="93"/>
  <c r="H300" i="93"/>
  <c r="H301" i="93"/>
  <c r="H302" i="93"/>
  <c r="H303" i="93"/>
  <c r="H304" i="93"/>
  <c r="H305" i="93"/>
  <c r="H306" i="93"/>
  <c r="H307" i="93"/>
  <c r="H308" i="93"/>
  <c r="H309" i="93"/>
  <c r="H310" i="93"/>
  <c r="H311" i="93"/>
  <c r="H312" i="93"/>
  <c r="H313" i="93"/>
  <c r="H314" i="93"/>
  <c r="H315" i="93"/>
  <c r="H316" i="93"/>
  <c r="H317" i="93"/>
  <c r="H318" i="93"/>
  <c r="H319" i="93"/>
  <c r="H320" i="93"/>
  <c r="H321" i="93"/>
  <c r="H322" i="93"/>
  <c r="H323" i="93"/>
  <c r="H324" i="93"/>
  <c r="H325" i="93"/>
  <c r="H326" i="93"/>
  <c r="H327" i="93"/>
  <c r="H328" i="93"/>
  <c r="H329" i="93"/>
  <c r="H330" i="93"/>
  <c r="H331" i="93"/>
  <c r="H332" i="93"/>
  <c r="H333" i="93"/>
  <c r="H334" i="93"/>
  <c r="H335" i="93"/>
  <c r="H336" i="93"/>
  <c r="H337" i="93"/>
  <c r="H338" i="93"/>
  <c r="H339" i="93"/>
  <c r="H340" i="93"/>
  <c r="H341" i="93"/>
  <c r="H342" i="93"/>
  <c r="H343" i="93"/>
  <c r="H344" i="93"/>
  <c r="H345" i="93"/>
  <c r="H346" i="93"/>
  <c r="H347" i="93"/>
  <c r="H348" i="93"/>
  <c r="H349" i="93"/>
  <c r="H350" i="93"/>
  <c r="H351" i="93"/>
  <c r="H352" i="93"/>
  <c r="H353" i="93"/>
  <c r="H354" i="93"/>
  <c r="H355" i="93"/>
  <c r="H356" i="93"/>
  <c r="H357" i="93"/>
  <c r="H358" i="93"/>
  <c r="H359" i="93"/>
  <c r="H360" i="93"/>
  <c r="H361" i="93"/>
  <c r="H362" i="93"/>
  <c r="H363" i="93"/>
  <c r="H364" i="93"/>
  <c r="H365" i="93"/>
  <c r="H366" i="93"/>
  <c r="H367" i="93"/>
  <c r="H368" i="93"/>
  <c r="H369" i="93"/>
  <c r="H370" i="93"/>
  <c r="H2" i="93"/>
  <c r="K370" i="93" l="1"/>
  <c r="K371" i="93"/>
  <c r="G16" i="17" l="1"/>
  <c r="G15" i="17"/>
  <c r="Q1172" i="24" l="1"/>
  <c r="J1172" i="24"/>
  <c r="J1171" i="24"/>
  <c r="N39" i="17"/>
  <c r="N40" i="17"/>
  <c r="K40" i="17"/>
  <c r="K39" i="17"/>
  <c r="I39" i="17" l="1"/>
  <c r="G39" i="17"/>
  <c r="J40" i="17"/>
  <c r="G40" i="17"/>
  <c r="I40" i="17"/>
  <c r="J39" i="17"/>
  <c r="K369" i="93" l="1"/>
  <c r="K368" i="93"/>
  <c r="K367" i="93"/>
  <c r="J1158" i="24" l="1"/>
  <c r="J1157" i="24"/>
  <c r="K37" i="17" l="1"/>
  <c r="G37" i="17" s="1"/>
  <c r="N36" i="17"/>
  <c r="I36" i="17"/>
  <c r="N37" i="17"/>
  <c r="N38" i="17"/>
  <c r="I18" i="17" l="1"/>
  <c r="G18" i="17"/>
  <c r="J18" i="17"/>
  <c r="I37" i="17"/>
  <c r="J38" i="17"/>
  <c r="J36" i="17"/>
  <c r="I38" i="17"/>
  <c r="J37" i="17"/>
  <c r="K353" i="93"/>
  <c r="K366" i="93"/>
  <c r="K362" i="93"/>
  <c r="K363" i="93"/>
  <c r="K364" i="93"/>
  <c r="K365" i="93"/>
  <c r="K361" i="93"/>
  <c r="K358" i="93"/>
  <c r="K357" i="93"/>
  <c r="K356" i="93" l="1"/>
  <c r="K33" i="17" l="1"/>
  <c r="K354" i="93" l="1"/>
  <c r="K355" i="93"/>
  <c r="G34" i="17" l="1"/>
  <c r="N34" i="17"/>
  <c r="J34" i="17" l="1"/>
  <c r="I34" i="17"/>
  <c r="K352" i="93" l="1"/>
  <c r="K351" i="93" l="1"/>
  <c r="Q1140" i="24" l="1"/>
  <c r="J1140" i="24"/>
  <c r="J1139" i="24"/>
  <c r="K350" i="93" l="1"/>
  <c r="K349" i="93"/>
  <c r="Q1121" i="24" l="1"/>
  <c r="J1121" i="24"/>
  <c r="G33" i="17" l="1"/>
  <c r="K32" i="17"/>
  <c r="K31" i="17"/>
  <c r="N14" i="17"/>
  <c r="K14" i="17"/>
  <c r="N31" i="17"/>
  <c r="N32" i="17"/>
  <c r="N33" i="17"/>
  <c r="K348" i="93"/>
  <c r="K347" i="93"/>
  <c r="K346" i="93"/>
  <c r="K345" i="93"/>
  <c r="K344" i="93"/>
  <c r="K343" i="93"/>
  <c r="K342" i="93"/>
  <c r="K341" i="93"/>
  <c r="K340" i="93"/>
  <c r="K339" i="93"/>
  <c r="K338" i="93"/>
  <c r="K337" i="93"/>
  <c r="K336" i="93"/>
  <c r="K335" i="93"/>
  <c r="K334" i="93"/>
  <c r="K333" i="93"/>
  <c r="K332" i="93"/>
  <c r="K331" i="93"/>
  <c r="K330" i="93"/>
  <c r="K329" i="93"/>
  <c r="K328" i="93"/>
  <c r="K327" i="93"/>
  <c r="K326" i="93"/>
  <c r="K325" i="93"/>
  <c r="K324" i="93"/>
  <c r="K323" i="93"/>
  <c r="K322" i="93"/>
  <c r="K321" i="93"/>
  <c r="K320" i="93"/>
  <c r="K319" i="93"/>
  <c r="K318" i="93"/>
  <c r="K317" i="93"/>
  <c r="K316" i="93"/>
  <c r="K315" i="93"/>
  <c r="K314" i="93"/>
  <c r="K313" i="93"/>
  <c r="K312" i="93"/>
  <c r="K308" i="93"/>
  <c r="K307" i="93"/>
  <c r="K306" i="93"/>
  <c r="K305" i="93"/>
  <c r="K304" i="93"/>
  <c r="K303" i="93"/>
  <c r="K302" i="93"/>
  <c r="K301" i="93"/>
  <c r="K300" i="93"/>
  <c r="K299" i="93"/>
  <c r="K298" i="93"/>
  <c r="K297" i="93"/>
  <c r="K296" i="93"/>
  <c r="K295" i="93"/>
  <c r="K294" i="93"/>
  <c r="K293" i="93"/>
  <c r="K292" i="93"/>
  <c r="K291" i="93"/>
  <c r="K290" i="93"/>
  <c r="K289" i="93"/>
  <c r="K288" i="93"/>
  <c r="K287" i="93"/>
  <c r="K286" i="93"/>
  <c r="K285" i="93"/>
  <c r="K284" i="93"/>
  <c r="K283" i="93"/>
  <c r="K282" i="93"/>
  <c r="K281" i="93"/>
  <c r="K280" i="93"/>
  <c r="K279" i="93"/>
  <c r="K278" i="93"/>
  <c r="K277" i="93"/>
  <c r="K276" i="93"/>
  <c r="K275" i="93"/>
  <c r="K271" i="93"/>
  <c r="K270" i="93"/>
  <c r="K269" i="93"/>
  <c r="K268" i="93"/>
  <c r="K267" i="93"/>
  <c r="K266" i="93"/>
  <c r="K265" i="93"/>
  <c r="K264" i="93"/>
  <c r="K263" i="93"/>
  <c r="K262" i="93"/>
  <c r="K261" i="93"/>
  <c r="K260" i="93"/>
  <c r="K259" i="93"/>
  <c r="K258" i="93"/>
  <c r="K257" i="93"/>
  <c r="K256" i="93"/>
  <c r="K255" i="93"/>
  <c r="K254" i="93"/>
  <c r="K253" i="93"/>
  <c r="K252" i="93"/>
  <c r="K251" i="93"/>
  <c r="K250" i="93"/>
  <c r="K249" i="93"/>
  <c r="K248" i="93"/>
  <c r="K247" i="93"/>
  <c r="K246" i="93"/>
  <c r="K245" i="93"/>
  <c r="K244" i="93"/>
  <c r="K243" i="93"/>
  <c r="K242" i="93"/>
  <c r="K241" i="93"/>
  <c r="K240" i="93"/>
  <c r="K239" i="93"/>
  <c r="K238" i="93"/>
  <c r="K237" i="93"/>
  <c r="K236" i="93"/>
  <c r="K235" i="93"/>
  <c r="K234" i="93"/>
  <c r="K233" i="93"/>
  <c r="K232" i="93"/>
  <c r="K231" i="93"/>
  <c r="K230" i="93"/>
  <c r="K229" i="93"/>
  <c r="K228" i="93"/>
  <c r="K227" i="93"/>
  <c r="K226" i="93"/>
  <c r="K225" i="93"/>
  <c r="K224" i="93"/>
  <c r="K223" i="93"/>
  <c r="K222" i="93"/>
  <c r="K221" i="93"/>
  <c r="K220" i="93"/>
  <c r="K219" i="93"/>
  <c r="K218" i="93"/>
  <c r="K217" i="93"/>
  <c r="K216" i="93"/>
  <c r="K215" i="93"/>
  <c r="K214" i="93"/>
  <c r="K213" i="93"/>
  <c r="K212" i="93"/>
  <c r="K211" i="93"/>
  <c r="K210" i="93"/>
  <c r="K209" i="93"/>
  <c r="K208" i="93"/>
  <c r="K207" i="93"/>
  <c r="K206" i="93"/>
  <c r="K205" i="93"/>
  <c r="K204" i="93"/>
  <c r="K203" i="93"/>
  <c r="K202" i="93"/>
  <c r="K201" i="93"/>
  <c r="K200" i="93"/>
  <c r="K199" i="93"/>
  <c r="K198" i="93"/>
  <c r="K197" i="93"/>
  <c r="K196" i="93"/>
  <c r="K195" i="93"/>
  <c r="K194" i="93"/>
  <c r="K193" i="93"/>
  <c r="K192" i="93"/>
  <c r="K191" i="93"/>
  <c r="K190" i="93"/>
  <c r="K189" i="93"/>
  <c r="K188" i="93"/>
  <c r="K187" i="93"/>
  <c r="K186" i="93"/>
  <c r="K185" i="93"/>
  <c r="K184" i="93"/>
  <c r="K183" i="93"/>
  <c r="K182" i="93"/>
  <c r="K181" i="93"/>
  <c r="K180" i="93"/>
  <c r="K179" i="93"/>
  <c r="K178" i="93"/>
  <c r="K177" i="93"/>
  <c r="K176" i="93"/>
  <c r="K175" i="93"/>
  <c r="K174" i="93"/>
  <c r="K173" i="93"/>
  <c r="K172" i="93"/>
  <c r="K171" i="93"/>
  <c r="K170" i="93"/>
  <c r="K169" i="93"/>
  <c r="K168" i="93"/>
  <c r="K167" i="93"/>
  <c r="K166" i="93"/>
  <c r="K165" i="93"/>
  <c r="K164" i="93"/>
  <c r="K163" i="93"/>
  <c r="K162" i="93"/>
  <c r="K161" i="93"/>
  <c r="K160" i="93"/>
  <c r="K159" i="93"/>
  <c r="K158" i="93"/>
  <c r="K157" i="93"/>
  <c r="K156" i="93"/>
  <c r="K155" i="93"/>
  <c r="K154" i="93"/>
  <c r="K153" i="93"/>
  <c r="K152" i="93"/>
  <c r="K151" i="93"/>
  <c r="K150" i="93"/>
  <c r="K149" i="93"/>
  <c r="K148" i="93"/>
  <c r="K147" i="93"/>
  <c r="K146" i="93"/>
  <c r="K145" i="93"/>
  <c r="K144" i="93"/>
  <c r="K143" i="93"/>
  <c r="K142" i="93"/>
  <c r="K141" i="93"/>
  <c r="K140" i="93"/>
  <c r="K139" i="93"/>
  <c r="K138" i="93"/>
  <c r="K137" i="93"/>
  <c r="K136" i="93"/>
  <c r="K135" i="93"/>
  <c r="K134" i="93"/>
  <c r="K133" i="93"/>
  <c r="K132" i="93"/>
  <c r="K131" i="93"/>
  <c r="K130" i="93"/>
  <c r="K129" i="93"/>
  <c r="K128" i="93"/>
  <c r="K127" i="93"/>
  <c r="K126" i="93"/>
  <c r="K125" i="93"/>
  <c r="K124" i="93"/>
  <c r="K123" i="93"/>
  <c r="K122" i="93"/>
  <c r="K121" i="93"/>
  <c r="K120" i="93"/>
  <c r="K119" i="93"/>
  <c r="K118" i="93"/>
  <c r="K117" i="93"/>
  <c r="K116" i="93"/>
  <c r="K115" i="93"/>
  <c r="K114" i="93"/>
  <c r="K113" i="93"/>
  <c r="K112" i="93"/>
  <c r="K111" i="93"/>
  <c r="K110" i="93"/>
  <c r="K109" i="93"/>
  <c r="K108" i="93"/>
  <c r="K107" i="93"/>
  <c r="K106" i="93"/>
  <c r="K105" i="93"/>
  <c r="K104" i="93"/>
  <c r="K103" i="93"/>
  <c r="K102" i="93"/>
  <c r="K101" i="93"/>
  <c r="K100" i="93"/>
  <c r="K99" i="93"/>
  <c r="K98" i="93"/>
  <c r="K97" i="93"/>
  <c r="K96" i="93"/>
  <c r="K95" i="93"/>
  <c r="K94" i="93"/>
  <c r="K93" i="93"/>
  <c r="K92" i="93"/>
  <c r="K91" i="93"/>
  <c r="K90" i="93"/>
  <c r="K89" i="93"/>
  <c r="K88" i="93"/>
  <c r="K87" i="93"/>
  <c r="K86" i="93"/>
  <c r="K85" i="93"/>
  <c r="K84" i="93"/>
  <c r="K83" i="93"/>
  <c r="K82" i="93"/>
  <c r="K81" i="93"/>
  <c r="K80" i="93"/>
  <c r="K79" i="93"/>
  <c r="I78" i="93"/>
  <c r="K78" i="93" s="1"/>
  <c r="K77" i="93"/>
  <c r="K76" i="93"/>
  <c r="K75" i="93"/>
  <c r="K74" i="93"/>
  <c r="K73" i="93"/>
  <c r="K72" i="93"/>
  <c r="K71" i="93"/>
  <c r="K70" i="93"/>
  <c r="K69" i="93"/>
  <c r="K68" i="93"/>
  <c r="K67" i="93"/>
  <c r="K66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48" i="93"/>
  <c r="K47" i="93"/>
  <c r="K46" i="93"/>
  <c r="K45" i="93"/>
  <c r="K44" i="93"/>
  <c r="K43" i="93"/>
  <c r="K42" i="93"/>
  <c r="K41" i="93"/>
  <c r="K40" i="93"/>
  <c r="K39" i="93"/>
  <c r="K38" i="93"/>
  <c r="K37" i="93"/>
  <c r="K36" i="93"/>
  <c r="K35" i="93"/>
  <c r="K34" i="93"/>
  <c r="K33" i="93"/>
  <c r="K32" i="93"/>
  <c r="K31" i="93"/>
  <c r="K30" i="93"/>
  <c r="K29" i="93"/>
  <c r="K28" i="93"/>
  <c r="K27" i="93"/>
  <c r="K26" i="93"/>
  <c r="K25" i="93"/>
  <c r="K24" i="93"/>
  <c r="K23" i="93"/>
  <c r="K22" i="93"/>
  <c r="K21" i="93"/>
  <c r="K20" i="93"/>
  <c r="K19" i="93"/>
  <c r="K18" i="93"/>
  <c r="K17" i="93"/>
  <c r="K16" i="93"/>
  <c r="K15" i="93"/>
  <c r="K14" i="93"/>
  <c r="K13" i="93"/>
  <c r="K12" i="93"/>
  <c r="K11" i="93"/>
  <c r="K10" i="93"/>
  <c r="K9" i="93"/>
  <c r="K8" i="93"/>
  <c r="K7" i="93"/>
  <c r="K6" i="93"/>
  <c r="K5" i="93"/>
  <c r="K4" i="93"/>
  <c r="K3" i="93"/>
  <c r="K2" i="93"/>
  <c r="G31" i="17" l="1"/>
  <c r="I31" i="17"/>
  <c r="J31" i="17"/>
  <c r="G32" i="17"/>
  <c r="I32" i="17"/>
  <c r="J32" i="17"/>
  <c r="J14" i="17"/>
  <c r="G14" i="17"/>
  <c r="I33" i="17"/>
  <c r="J33" i="17"/>
  <c r="I14" i="17"/>
  <c r="K22" i="17"/>
  <c r="G22" i="17" s="1"/>
  <c r="K21" i="17"/>
  <c r="G21" i="17" s="1"/>
  <c r="K17" i="17"/>
  <c r="N17" i="17"/>
  <c r="N21" i="17"/>
  <c r="N22" i="17"/>
  <c r="I17" i="17" l="1"/>
  <c r="G17" i="17"/>
  <c r="J22" i="17"/>
  <c r="J17" i="17"/>
  <c r="J21" i="17"/>
  <c r="I22" i="17"/>
  <c r="I21" i="17"/>
  <c r="J1124" i="24" l="1"/>
  <c r="J1120" i="24"/>
  <c r="J1119" i="24"/>
  <c r="J15" i="17" l="1"/>
  <c r="I15" i="17"/>
  <c r="I16" i="17"/>
  <c r="J16" i="17"/>
  <c r="H1114" i="24"/>
  <c r="J1114" i="24" s="1"/>
  <c r="J1095" i="24"/>
  <c r="J1096" i="24"/>
  <c r="J1113" i="24" l="1"/>
  <c r="J1106" i="24" l="1"/>
  <c r="J1105" i="24"/>
  <c r="J1104" i="24"/>
  <c r="J1103" i="24"/>
  <c r="N15" i="17"/>
  <c r="N16" i="17"/>
  <c r="K12" i="17" l="1"/>
  <c r="N12" i="17"/>
  <c r="N11" i="17" l="1"/>
  <c r="K11" i="17"/>
  <c r="N7" i="17"/>
  <c r="K7" i="17"/>
  <c r="N6" i="17"/>
  <c r="K6" i="17"/>
  <c r="N5" i="17"/>
  <c r="K5" i="17"/>
  <c r="K4" i="17"/>
  <c r="N3" i="17"/>
  <c r="K3" i="17"/>
  <c r="N2" i="17"/>
  <c r="K2" i="17"/>
  <c r="L269" i="95" l="1"/>
  <c r="L268" i="95"/>
  <c r="M268" i="95" s="1"/>
  <c r="O268" i="95" s="1"/>
  <c r="L264" i="95"/>
  <c r="M264" i="95" s="1"/>
  <c r="L263" i="95"/>
  <c r="M263" i="95" s="1"/>
  <c r="L261" i="95"/>
  <c r="L260" i="95"/>
  <c r="M260" i="95" s="1"/>
  <c r="L258" i="95"/>
  <c r="M258" i="95" s="1"/>
  <c r="N258" i="95" s="1"/>
  <c r="L257" i="95"/>
  <c r="M257" i="95" s="1"/>
  <c r="L256" i="95"/>
  <c r="M256" i="95" s="1"/>
  <c r="L255" i="95"/>
  <c r="M255" i="95" s="1"/>
  <c r="L254" i="95"/>
  <c r="M254" i="95" s="1"/>
  <c r="L253" i="95"/>
  <c r="M253" i="95" s="1"/>
  <c r="L252" i="95"/>
  <c r="M252" i="95" s="1"/>
  <c r="L251" i="95"/>
  <c r="M251" i="95" s="1"/>
  <c r="L250" i="95"/>
  <c r="M250" i="95" s="1"/>
  <c r="N250" i="95" s="1"/>
  <c r="L249" i="95"/>
  <c r="M249" i="95" s="1"/>
  <c r="L248" i="95"/>
  <c r="M248" i="95" s="1"/>
  <c r="L247" i="95"/>
  <c r="M247" i="95" s="1"/>
  <c r="L246" i="95"/>
  <c r="M246" i="95" s="1"/>
  <c r="L245" i="95"/>
  <c r="M245" i="95" s="1"/>
  <c r="L244" i="95"/>
  <c r="M244" i="95" s="1"/>
  <c r="L243" i="95"/>
  <c r="M243" i="95" s="1"/>
  <c r="L242" i="95"/>
  <c r="M242" i="95" s="1"/>
  <c r="N242" i="95" s="1"/>
  <c r="L241" i="95"/>
  <c r="M241" i="95" s="1"/>
  <c r="L240" i="95"/>
  <c r="M240" i="95" s="1"/>
  <c r="L239" i="95"/>
  <c r="M239" i="95" s="1"/>
  <c r="L238" i="95"/>
  <c r="M238" i="95" s="1"/>
  <c r="L237" i="95"/>
  <c r="M237" i="95" s="1"/>
  <c r="L236" i="95"/>
  <c r="M236" i="95" s="1"/>
  <c r="L235" i="95"/>
  <c r="M235" i="95" s="1"/>
  <c r="L234" i="95"/>
  <c r="M234" i="95" s="1"/>
  <c r="N234" i="95" s="1"/>
  <c r="L233" i="95"/>
  <c r="M233" i="95" s="1"/>
  <c r="L232" i="95"/>
  <c r="M232" i="95" s="1"/>
  <c r="L231" i="95"/>
  <c r="M231" i="95" s="1"/>
  <c r="L230" i="95"/>
  <c r="M230" i="95" s="1"/>
  <c r="L229" i="95"/>
  <c r="M229" i="95" s="1"/>
  <c r="L228" i="95"/>
  <c r="M228" i="95" s="1"/>
  <c r="L227" i="95"/>
  <c r="M227" i="95" s="1"/>
  <c r="L226" i="95"/>
  <c r="M226" i="95" s="1"/>
  <c r="N226" i="95" s="1"/>
  <c r="L225" i="95"/>
  <c r="M225" i="95" s="1"/>
  <c r="L224" i="95"/>
  <c r="M224" i="95" s="1"/>
  <c r="L223" i="95"/>
  <c r="M223" i="95" s="1"/>
  <c r="L222" i="95"/>
  <c r="M222" i="95" s="1"/>
  <c r="L221" i="95"/>
  <c r="M221" i="95" s="1"/>
  <c r="L220" i="95"/>
  <c r="M220" i="95" s="1"/>
  <c r="L219" i="95"/>
  <c r="M219" i="95" s="1"/>
  <c r="L218" i="95"/>
  <c r="M218" i="95" s="1"/>
  <c r="L217" i="95"/>
  <c r="M217" i="95" s="1"/>
  <c r="L216" i="95"/>
  <c r="M216" i="95" s="1"/>
  <c r="L215" i="95"/>
  <c r="M215" i="95" s="1"/>
  <c r="L214" i="95"/>
  <c r="M214" i="95" s="1"/>
  <c r="L213" i="95"/>
  <c r="M213" i="95" s="1"/>
  <c r="L212" i="95"/>
  <c r="M212" i="95" s="1"/>
  <c r="L211" i="95"/>
  <c r="M211" i="95" s="1"/>
  <c r="L210" i="95"/>
  <c r="M210" i="95" s="1"/>
  <c r="L209" i="95"/>
  <c r="M209" i="95" s="1"/>
  <c r="L208" i="95"/>
  <c r="M208" i="95" s="1"/>
  <c r="L207" i="95"/>
  <c r="M207" i="95" s="1"/>
  <c r="L206" i="95"/>
  <c r="M206" i="95" s="1"/>
  <c r="L205" i="95"/>
  <c r="M205" i="95" s="1"/>
  <c r="L204" i="95"/>
  <c r="M204" i="95" s="1"/>
  <c r="L203" i="95"/>
  <c r="M203" i="95" s="1"/>
  <c r="L202" i="95"/>
  <c r="M202" i="95" s="1"/>
  <c r="L201" i="95"/>
  <c r="M201" i="95" s="1"/>
  <c r="L200" i="95"/>
  <c r="M200" i="95" s="1"/>
  <c r="L199" i="95"/>
  <c r="M199" i="95" s="1"/>
  <c r="L198" i="95"/>
  <c r="M198" i="95" s="1"/>
  <c r="L197" i="95"/>
  <c r="M197" i="95" s="1"/>
  <c r="L196" i="95"/>
  <c r="M196" i="95" s="1"/>
  <c r="L195" i="95"/>
  <c r="M195" i="95" s="1"/>
  <c r="L194" i="95"/>
  <c r="M194" i="95" s="1"/>
  <c r="L193" i="95"/>
  <c r="M193" i="95" s="1"/>
  <c r="L192" i="95"/>
  <c r="M192" i="95" s="1"/>
  <c r="L191" i="95"/>
  <c r="M191" i="95" s="1"/>
  <c r="L190" i="95"/>
  <c r="M190" i="95" s="1"/>
  <c r="L189" i="95"/>
  <c r="M189" i="95" s="1"/>
  <c r="L188" i="95"/>
  <c r="M188" i="95" s="1"/>
  <c r="L187" i="95"/>
  <c r="M187" i="95" s="1"/>
  <c r="L186" i="95"/>
  <c r="M186" i="95" s="1"/>
  <c r="L185" i="95"/>
  <c r="M185" i="95" s="1"/>
  <c r="L184" i="95"/>
  <c r="M184" i="95" s="1"/>
  <c r="L183" i="95"/>
  <c r="M183" i="95" s="1"/>
  <c r="L182" i="95"/>
  <c r="M182" i="95" s="1"/>
  <c r="L181" i="95"/>
  <c r="M181" i="95" s="1"/>
  <c r="L180" i="95"/>
  <c r="M180" i="95" s="1"/>
  <c r="L179" i="95"/>
  <c r="M179" i="95" s="1"/>
  <c r="L178" i="95"/>
  <c r="M178" i="95" s="1"/>
  <c r="L177" i="95"/>
  <c r="M177" i="95" s="1"/>
  <c r="L176" i="95"/>
  <c r="M176" i="95" s="1"/>
  <c r="L175" i="95"/>
  <c r="M175" i="95" s="1"/>
  <c r="L174" i="95"/>
  <c r="M174" i="95" s="1"/>
  <c r="L173" i="95"/>
  <c r="M173" i="95" s="1"/>
  <c r="L172" i="95"/>
  <c r="M172" i="95" s="1"/>
  <c r="L171" i="95"/>
  <c r="M171" i="95" s="1"/>
  <c r="L170" i="95"/>
  <c r="M170" i="95" s="1"/>
  <c r="L169" i="95"/>
  <c r="M169" i="95" s="1"/>
  <c r="L168" i="95"/>
  <c r="M168" i="95" s="1"/>
  <c r="L167" i="95"/>
  <c r="M167" i="95" s="1"/>
  <c r="L166" i="95"/>
  <c r="M166" i="95" s="1"/>
  <c r="L165" i="95"/>
  <c r="M165" i="95" s="1"/>
  <c r="L164" i="95"/>
  <c r="M164" i="95" s="1"/>
  <c r="L163" i="95"/>
  <c r="M163" i="95" s="1"/>
  <c r="L162" i="95"/>
  <c r="M162" i="95" s="1"/>
  <c r="L161" i="95"/>
  <c r="M161" i="95" s="1"/>
  <c r="L160" i="95"/>
  <c r="M160" i="95" s="1"/>
  <c r="L159" i="95"/>
  <c r="M159" i="95" s="1"/>
  <c r="L158" i="95"/>
  <c r="M158" i="95" s="1"/>
  <c r="L157" i="95"/>
  <c r="M157" i="95" s="1"/>
  <c r="L156" i="95"/>
  <c r="M156" i="95" s="1"/>
  <c r="L155" i="95"/>
  <c r="M155" i="95" s="1"/>
  <c r="L154" i="95"/>
  <c r="M154" i="95" s="1"/>
  <c r="L153" i="95"/>
  <c r="M153" i="95" s="1"/>
  <c r="L152" i="95"/>
  <c r="M152" i="95" s="1"/>
  <c r="L151" i="95"/>
  <c r="M151" i="95" s="1"/>
  <c r="L150" i="95"/>
  <c r="M150" i="95" s="1"/>
  <c r="L149" i="95"/>
  <c r="M149" i="95" s="1"/>
  <c r="L148" i="95"/>
  <c r="M148" i="95" s="1"/>
  <c r="L147" i="95"/>
  <c r="M147" i="95" s="1"/>
  <c r="L146" i="95"/>
  <c r="M146" i="95" s="1"/>
  <c r="L145" i="95"/>
  <c r="M145" i="95" s="1"/>
  <c r="L144" i="95"/>
  <c r="M144" i="95" s="1"/>
  <c r="L143" i="95"/>
  <c r="M143" i="95" s="1"/>
  <c r="L142" i="95"/>
  <c r="M142" i="95" s="1"/>
  <c r="L141" i="95"/>
  <c r="M141" i="95" s="1"/>
  <c r="L140" i="95"/>
  <c r="M140" i="95" s="1"/>
  <c r="L139" i="95"/>
  <c r="M139" i="95" s="1"/>
  <c r="L138" i="95"/>
  <c r="M138" i="95" s="1"/>
  <c r="L137" i="95"/>
  <c r="M137" i="95" s="1"/>
  <c r="L136" i="95"/>
  <c r="M136" i="95" s="1"/>
  <c r="L135" i="95"/>
  <c r="M135" i="95" s="1"/>
  <c r="L134" i="95"/>
  <c r="M134" i="95" s="1"/>
  <c r="L133" i="95"/>
  <c r="M133" i="95" s="1"/>
  <c r="L132" i="95"/>
  <c r="M132" i="95" s="1"/>
  <c r="L131" i="95"/>
  <c r="M131" i="95" s="1"/>
  <c r="L130" i="95"/>
  <c r="M130" i="95" s="1"/>
  <c r="L129" i="95"/>
  <c r="M129" i="95" s="1"/>
  <c r="L128" i="95"/>
  <c r="M128" i="95" s="1"/>
  <c r="L127" i="95"/>
  <c r="M127" i="95" s="1"/>
  <c r="L126" i="95"/>
  <c r="M126" i="95" s="1"/>
  <c r="L125" i="95"/>
  <c r="M125" i="95" s="1"/>
  <c r="L124" i="95"/>
  <c r="M124" i="95" s="1"/>
  <c r="L123" i="95"/>
  <c r="M123" i="95" s="1"/>
  <c r="L122" i="95"/>
  <c r="M122" i="95" s="1"/>
  <c r="L121" i="95"/>
  <c r="M121" i="95" s="1"/>
  <c r="L120" i="95"/>
  <c r="M120" i="95" s="1"/>
  <c r="L119" i="95"/>
  <c r="M119" i="95" s="1"/>
  <c r="L118" i="95"/>
  <c r="M118" i="95" s="1"/>
  <c r="L117" i="95"/>
  <c r="M117" i="95" s="1"/>
  <c r="L116" i="95"/>
  <c r="M116" i="95" s="1"/>
  <c r="L115" i="95"/>
  <c r="M115" i="95" s="1"/>
  <c r="L114" i="95"/>
  <c r="M114" i="95" s="1"/>
  <c r="L113" i="95"/>
  <c r="M113" i="95" s="1"/>
  <c r="L112" i="95"/>
  <c r="M112" i="95" s="1"/>
  <c r="L111" i="95"/>
  <c r="M111" i="95" s="1"/>
  <c r="L110" i="95"/>
  <c r="M110" i="95" s="1"/>
  <c r="L109" i="95"/>
  <c r="M109" i="95" s="1"/>
  <c r="L108" i="95"/>
  <c r="M108" i="95" s="1"/>
  <c r="L107" i="95"/>
  <c r="M107" i="95" s="1"/>
  <c r="L106" i="95"/>
  <c r="M106" i="95" s="1"/>
  <c r="L105" i="95"/>
  <c r="M105" i="95" s="1"/>
  <c r="L104" i="95"/>
  <c r="M104" i="95" s="1"/>
  <c r="L103" i="95"/>
  <c r="M103" i="95" s="1"/>
  <c r="L102" i="95"/>
  <c r="M102" i="95" s="1"/>
  <c r="L101" i="95"/>
  <c r="M101" i="95" s="1"/>
  <c r="L100" i="95"/>
  <c r="M100" i="95" s="1"/>
  <c r="L99" i="95"/>
  <c r="M99" i="95" s="1"/>
  <c r="L98" i="95"/>
  <c r="M98" i="95" s="1"/>
  <c r="L97" i="95"/>
  <c r="M97" i="95" s="1"/>
  <c r="L96" i="95"/>
  <c r="M96" i="95" s="1"/>
  <c r="L95" i="95"/>
  <c r="M95" i="95" s="1"/>
  <c r="L94" i="95"/>
  <c r="M94" i="95" s="1"/>
  <c r="L93" i="95"/>
  <c r="M93" i="95" s="1"/>
  <c r="L92" i="95"/>
  <c r="M92" i="95" s="1"/>
  <c r="L91" i="95"/>
  <c r="M91" i="95" s="1"/>
  <c r="L90" i="95"/>
  <c r="M90" i="95" s="1"/>
  <c r="L89" i="95"/>
  <c r="M89" i="95" s="1"/>
  <c r="L88" i="95"/>
  <c r="M88" i="95" s="1"/>
  <c r="L87" i="95"/>
  <c r="M87" i="95" s="1"/>
  <c r="L86" i="95"/>
  <c r="M86" i="95" s="1"/>
  <c r="L85" i="95"/>
  <c r="M85" i="95" s="1"/>
  <c r="N85" i="95" s="1"/>
  <c r="L84" i="95"/>
  <c r="M84" i="95" s="1"/>
  <c r="L83" i="95"/>
  <c r="M83" i="95" s="1"/>
  <c r="L82" i="95"/>
  <c r="M82" i="95" s="1"/>
  <c r="L81" i="95"/>
  <c r="M81" i="95" s="1"/>
  <c r="L80" i="95"/>
  <c r="M80" i="95" s="1"/>
  <c r="L79" i="95"/>
  <c r="M79" i="95" s="1"/>
  <c r="L78" i="95"/>
  <c r="M78" i="95" s="1"/>
  <c r="L77" i="95"/>
  <c r="M77" i="95" s="1"/>
  <c r="N77" i="95" s="1"/>
  <c r="L76" i="95"/>
  <c r="M76" i="95" s="1"/>
  <c r="L75" i="95"/>
  <c r="M75" i="95" s="1"/>
  <c r="L74" i="95"/>
  <c r="M74" i="95" s="1"/>
  <c r="L73" i="95"/>
  <c r="M73" i="95" s="1"/>
  <c r="L72" i="95"/>
  <c r="M72" i="95" s="1"/>
  <c r="L71" i="95"/>
  <c r="M71" i="95" s="1"/>
  <c r="L70" i="95"/>
  <c r="M70" i="95" s="1"/>
  <c r="L69" i="95"/>
  <c r="M69" i="95" s="1"/>
  <c r="N69" i="95" s="1"/>
  <c r="L68" i="95"/>
  <c r="M68" i="95" s="1"/>
  <c r="L67" i="95"/>
  <c r="M67" i="95" s="1"/>
  <c r="L66" i="95"/>
  <c r="M66" i="95" s="1"/>
  <c r="L65" i="95"/>
  <c r="M65" i="95" s="1"/>
  <c r="L64" i="95"/>
  <c r="M64" i="95" s="1"/>
  <c r="L63" i="95"/>
  <c r="M63" i="95" s="1"/>
  <c r="L62" i="95"/>
  <c r="M62" i="95" s="1"/>
  <c r="L61" i="95"/>
  <c r="M61" i="95" s="1"/>
  <c r="N61" i="95" s="1"/>
  <c r="L60" i="95"/>
  <c r="M60" i="95" s="1"/>
  <c r="L59" i="95"/>
  <c r="M59" i="95" s="1"/>
  <c r="L58" i="95"/>
  <c r="M58" i="95" s="1"/>
  <c r="L57" i="95"/>
  <c r="M57" i="95" s="1"/>
  <c r="L56" i="95"/>
  <c r="M56" i="95" s="1"/>
  <c r="L55" i="95"/>
  <c r="M55" i="95" s="1"/>
  <c r="L54" i="95"/>
  <c r="M54" i="95" s="1"/>
  <c r="L53" i="95"/>
  <c r="M53" i="95" s="1"/>
  <c r="N53" i="95" s="1"/>
  <c r="L52" i="95"/>
  <c r="M52" i="95" s="1"/>
  <c r="L51" i="95"/>
  <c r="M51" i="95" s="1"/>
  <c r="L50" i="95"/>
  <c r="M50" i="95" s="1"/>
  <c r="L49" i="95"/>
  <c r="M49" i="95" s="1"/>
  <c r="L48" i="95"/>
  <c r="M48" i="95" s="1"/>
  <c r="L47" i="95"/>
  <c r="M47" i="95" s="1"/>
  <c r="L46" i="95"/>
  <c r="M46" i="95" s="1"/>
  <c r="L45" i="95"/>
  <c r="M45" i="95" s="1"/>
  <c r="N45" i="95" s="1"/>
  <c r="L44" i="95"/>
  <c r="M44" i="95" s="1"/>
  <c r="L43" i="95"/>
  <c r="M43" i="95" s="1"/>
  <c r="L42" i="95"/>
  <c r="M42" i="95" s="1"/>
  <c r="L41" i="95"/>
  <c r="M41" i="95" s="1"/>
  <c r="L40" i="95"/>
  <c r="M40" i="95" s="1"/>
  <c r="L39" i="95"/>
  <c r="M39" i="95" s="1"/>
  <c r="L38" i="95"/>
  <c r="M38" i="95" s="1"/>
  <c r="L37" i="95"/>
  <c r="M37" i="95" s="1"/>
  <c r="N37" i="95" s="1"/>
  <c r="L36" i="95"/>
  <c r="M36" i="95" s="1"/>
  <c r="L35" i="95"/>
  <c r="M35" i="95" s="1"/>
  <c r="L34" i="95"/>
  <c r="M34" i="95" s="1"/>
  <c r="L33" i="95"/>
  <c r="M33" i="95" s="1"/>
  <c r="L32" i="95"/>
  <c r="M32" i="95" s="1"/>
  <c r="L31" i="95"/>
  <c r="M31" i="95" s="1"/>
  <c r="L30" i="95"/>
  <c r="M30" i="95" s="1"/>
  <c r="L29" i="95"/>
  <c r="M29" i="95" s="1"/>
  <c r="N29" i="95" s="1"/>
  <c r="L28" i="95"/>
  <c r="M28" i="95" s="1"/>
  <c r="L27" i="95"/>
  <c r="M27" i="95" s="1"/>
  <c r="L26" i="95"/>
  <c r="M26" i="95" s="1"/>
  <c r="L25" i="95"/>
  <c r="M25" i="95" s="1"/>
  <c r="L24" i="95"/>
  <c r="M24" i="95" s="1"/>
  <c r="L23" i="95"/>
  <c r="M23" i="95" s="1"/>
  <c r="L22" i="95"/>
  <c r="M22" i="95" s="1"/>
  <c r="L21" i="95"/>
  <c r="M21" i="95" s="1"/>
  <c r="L20" i="95"/>
  <c r="M20" i="95" s="1"/>
  <c r="L19" i="95"/>
  <c r="M19" i="95" s="1"/>
  <c r="L18" i="95"/>
  <c r="M18" i="95" s="1"/>
  <c r="L17" i="95"/>
  <c r="M17" i="95" s="1"/>
  <c r="L16" i="95"/>
  <c r="M16" i="95" s="1"/>
  <c r="L15" i="95"/>
  <c r="M15" i="95" s="1"/>
  <c r="L14" i="95"/>
  <c r="M14" i="95" s="1"/>
  <c r="L13" i="95"/>
  <c r="M13" i="95" s="1"/>
  <c r="L12" i="95"/>
  <c r="M12" i="95" s="1"/>
  <c r="L11" i="95"/>
  <c r="M11" i="95" s="1"/>
  <c r="L10" i="95"/>
  <c r="M10" i="95" s="1"/>
  <c r="L9" i="95"/>
  <c r="M9" i="95" s="1"/>
  <c r="L8" i="95"/>
  <c r="M8" i="95" s="1"/>
  <c r="L7" i="95"/>
  <c r="M7" i="95" s="1"/>
  <c r="L6" i="95"/>
  <c r="M6" i="95" s="1"/>
  <c r="L5" i="95"/>
  <c r="M5" i="95" s="1"/>
  <c r="L4" i="95"/>
  <c r="M4" i="95" s="1"/>
  <c r="L3" i="95"/>
  <c r="M3" i="95" s="1"/>
  <c r="L2" i="95"/>
  <c r="M2" i="95" s="1"/>
  <c r="J15" i="81"/>
  <c r="J3" i="81"/>
  <c r="J1098" i="24"/>
  <c r="J1097" i="24"/>
  <c r="J1094" i="24"/>
  <c r="J1093" i="24"/>
  <c r="J1092" i="24"/>
  <c r="J1091" i="24"/>
  <c r="J1090" i="24"/>
  <c r="J1089" i="24"/>
  <c r="J1088" i="24"/>
  <c r="J1087" i="24"/>
  <c r="J1086" i="24"/>
  <c r="J1085" i="24"/>
  <c r="J1084" i="24"/>
  <c r="J1083" i="24"/>
  <c r="J1082" i="24"/>
  <c r="J1081" i="24"/>
  <c r="J1080" i="24"/>
  <c r="J1079" i="24"/>
  <c r="J1078" i="24"/>
  <c r="J1077" i="24"/>
  <c r="J1076" i="24"/>
  <c r="J1075" i="24"/>
  <c r="J1070" i="24"/>
  <c r="J1067" i="24"/>
  <c r="J1066" i="24"/>
  <c r="J1065" i="24"/>
  <c r="J1064" i="24"/>
  <c r="J1063" i="24"/>
  <c r="J1058" i="24"/>
  <c r="J1057" i="24"/>
  <c r="J1054" i="24"/>
  <c r="J1053" i="24"/>
  <c r="J1050" i="24"/>
  <c r="J1049" i="24"/>
  <c r="J1048" i="24"/>
  <c r="J1047" i="24"/>
  <c r="J1046" i="24"/>
  <c r="J1045" i="24"/>
  <c r="J1044" i="24"/>
  <c r="J1043" i="24"/>
  <c r="J1042" i="24"/>
  <c r="J1041" i="24"/>
  <c r="J1040" i="24"/>
  <c r="J1039" i="24"/>
  <c r="J1038" i="24"/>
  <c r="J1037" i="24"/>
  <c r="J1036" i="24"/>
  <c r="J1035" i="24"/>
  <c r="J1034" i="24"/>
  <c r="J1033" i="24"/>
  <c r="J1032" i="24"/>
  <c r="J1031" i="24"/>
  <c r="J1030" i="24"/>
  <c r="J1027" i="24"/>
  <c r="J1020" i="24"/>
  <c r="J1019" i="24"/>
  <c r="J1018" i="24"/>
  <c r="J1017" i="24"/>
  <c r="J1016" i="24"/>
  <c r="J1015" i="24"/>
  <c r="J1013" i="24"/>
  <c r="J1012" i="24"/>
  <c r="J1011" i="24"/>
  <c r="J1010" i="24"/>
  <c r="J1009" i="24"/>
  <c r="J1008" i="24"/>
  <c r="J1000" i="24"/>
  <c r="J998" i="24"/>
  <c r="J997" i="24"/>
  <c r="J996" i="24"/>
  <c r="J995" i="24"/>
  <c r="J994" i="24"/>
  <c r="J993" i="24"/>
  <c r="J992" i="24"/>
  <c r="J991" i="24"/>
  <c r="J989" i="24"/>
  <c r="J988" i="24"/>
  <c r="J987" i="24"/>
  <c r="J986" i="24"/>
  <c r="J985" i="24"/>
  <c r="J984" i="24"/>
  <c r="J983" i="24"/>
  <c r="J981" i="24"/>
  <c r="J980" i="24"/>
  <c r="J979" i="24"/>
  <c r="J978" i="24"/>
  <c r="J977" i="24"/>
  <c r="J975" i="24"/>
  <c r="J972" i="24"/>
  <c r="J971" i="24"/>
  <c r="J970" i="24"/>
  <c r="J969" i="24"/>
  <c r="J968" i="24"/>
  <c r="J967" i="24"/>
  <c r="J966" i="24"/>
  <c r="J964" i="24"/>
  <c r="J963" i="24"/>
  <c r="J962" i="24"/>
  <c r="J961" i="24"/>
  <c r="J960" i="24"/>
  <c r="J959" i="24"/>
  <c r="J958" i="24"/>
  <c r="J957" i="24"/>
  <c r="J956" i="24"/>
  <c r="J955" i="24"/>
  <c r="J953" i="24"/>
  <c r="J952" i="24"/>
  <c r="J951" i="24"/>
  <c r="J950" i="24"/>
  <c r="J949" i="24"/>
  <c r="J948" i="24"/>
  <c r="J942" i="24"/>
  <c r="J941" i="24"/>
  <c r="J937" i="24"/>
  <c r="J936" i="24"/>
  <c r="J935" i="24"/>
  <c r="J934" i="24"/>
  <c r="J933" i="24"/>
  <c r="J932" i="24"/>
  <c r="J931" i="24"/>
  <c r="J930" i="24"/>
  <c r="J929" i="24"/>
  <c r="J928" i="24"/>
  <c r="J927" i="24"/>
  <c r="J924" i="24"/>
  <c r="J923" i="24"/>
  <c r="J922" i="24"/>
  <c r="J917" i="24"/>
  <c r="J916" i="24"/>
  <c r="J915" i="24"/>
  <c r="J914" i="24"/>
  <c r="J913" i="24"/>
  <c r="J912" i="24"/>
  <c r="J911" i="24"/>
  <c r="J906" i="24"/>
  <c r="J905" i="24"/>
  <c r="J904" i="24"/>
  <c r="J903" i="24"/>
  <c r="J896" i="24"/>
  <c r="J893" i="24"/>
  <c r="J892" i="24"/>
  <c r="J891" i="24"/>
  <c r="J890" i="24"/>
  <c r="J889" i="24"/>
  <c r="J888" i="24"/>
  <c r="J887" i="24"/>
  <c r="J886" i="24"/>
  <c r="J885" i="24"/>
  <c r="J884" i="24"/>
  <c r="J882" i="24"/>
  <c r="J881" i="24"/>
  <c r="J878" i="24"/>
  <c r="J877" i="24"/>
  <c r="J874" i="24"/>
  <c r="J873" i="24"/>
  <c r="J872" i="24"/>
  <c r="J871" i="24"/>
  <c r="J870" i="24"/>
  <c r="G870" i="24"/>
  <c r="J869" i="24"/>
  <c r="J864" i="24"/>
  <c r="J863" i="24"/>
  <c r="G863" i="24"/>
  <c r="J862" i="24"/>
  <c r="J861" i="24"/>
  <c r="J860" i="24"/>
  <c r="J859" i="24"/>
  <c r="J858" i="24"/>
  <c r="J857" i="24"/>
  <c r="J856" i="24"/>
  <c r="J855" i="24"/>
  <c r="J854" i="24"/>
  <c r="I853" i="24"/>
  <c r="J852" i="24"/>
  <c r="J851" i="24"/>
  <c r="J850" i="24"/>
  <c r="J849" i="24"/>
  <c r="J848" i="24"/>
  <c r="J847" i="24"/>
  <c r="J846" i="24"/>
  <c r="J845" i="24"/>
  <c r="J844" i="24"/>
  <c r="J843" i="24"/>
  <c r="J842" i="24"/>
  <c r="J841" i="24"/>
  <c r="J840" i="24"/>
  <c r="J839" i="24"/>
  <c r="J838" i="24"/>
  <c r="J837" i="24"/>
  <c r="J836" i="24"/>
  <c r="J835" i="24"/>
  <c r="J830" i="24"/>
  <c r="J829" i="24"/>
  <c r="J828" i="24"/>
  <c r="J827" i="24"/>
  <c r="J826" i="24"/>
  <c r="J794" i="24"/>
  <c r="G794" i="24"/>
  <c r="J793" i="24"/>
  <c r="J792" i="24"/>
  <c r="J791" i="24"/>
  <c r="J790" i="24"/>
  <c r="J789" i="24"/>
  <c r="I788" i="24"/>
  <c r="J788" i="24" s="1"/>
  <c r="J787" i="24"/>
  <c r="I784" i="24"/>
  <c r="I770" i="24" s="1"/>
  <c r="J770" i="24" s="1"/>
  <c r="J783" i="24"/>
  <c r="J782" i="24"/>
  <c r="J781" i="24"/>
  <c r="J780" i="24"/>
  <c r="J779" i="24"/>
  <c r="J778" i="24"/>
  <c r="J777" i="24"/>
  <c r="J776" i="24"/>
  <c r="J772" i="24"/>
  <c r="I771" i="24"/>
  <c r="I795" i="24" s="1"/>
  <c r="J769" i="24"/>
  <c r="J768" i="24"/>
  <c r="J767" i="24"/>
  <c r="J766" i="24"/>
  <c r="J765" i="24"/>
  <c r="J756" i="24"/>
  <c r="J755" i="24"/>
  <c r="J752" i="24"/>
  <c r="G752" i="24"/>
  <c r="J748" i="24"/>
  <c r="J747" i="24"/>
  <c r="J746" i="24"/>
  <c r="J745" i="24"/>
  <c r="J743" i="24"/>
  <c r="J742" i="24"/>
  <c r="J741" i="24"/>
  <c r="J740" i="24"/>
  <c r="J739" i="24"/>
  <c r="J738" i="24"/>
  <c r="J737" i="24"/>
  <c r="J736" i="24"/>
  <c r="J735" i="24"/>
  <c r="J734" i="24"/>
  <c r="J733" i="24"/>
  <c r="J732" i="24"/>
  <c r="J731" i="24"/>
  <c r="J730" i="24"/>
  <c r="J729" i="24"/>
  <c r="J715" i="24"/>
  <c r="J714" i="24"/>
  <c r="J713" i="24"/>
  <c r="J706" i="24"/>
  <c r="J698" i="24"/>
  <c r="J697" i="24"/>
  <c r="J696" i="24"/>
  <c r="J695" i="24"/>
  <c r="J694" i="24"/>
  <c r="J693" i="24"/>
  <c r="J692" i="24"/>
  <c r="J687" i="24"/>
  <c r="J686" i="24"/>
  <c r="J683" i="24"/>
  <c r="J682" i="24"/>
  <c r="J681" i="24"/>
  <c r="J680" i="24"/>
  <c r="J679" i="24"/>
  <c r="J672" i="24"/>
  <c r="J671" i="24"/>
  <c r="J670" i="24"/>
  <c r="J669" i="24"/>
  <c r="J668" i="24"/>
  <c r="J667" i="24"/>
  <c r="J666" i="24"/>
  <c r="J665" i="24"/>
  <c r="J664" i="24"/>
  <c r="J663" i="24"/>
  <c r="J662" i="24"/>
  <c r="J655" i="24"/>
  <c r="J654" i="24"/>
  <c r="J653" i="24"/>
  <c r="J652" i="24"/>
  <c r="J651" i="24"/>
  <c r="J650" i="24"/>
  <c r="J649" i="24"/>
  <c r="J648" i="24"/>
  <c r="J647" i="24"/>
  <c r="J646" i="24"/>
  <c r="J645" i="24"/>
  <c r="J644" i="24"/>
  <c r="J643" i="24"/>
  <c r="J639" i="24"/>
  <c r="J635" i="24"/>
  <c r="J634" i="24"/>
  <c r="J633" i="24"/>
  <c r="J632" i="24"/>
  <c r="J631" i="24"/>
  <c r="J630" i="24"/>
  <c r="J629" i="24"/>
  <c r="J628" i="24"/>
  <c r="J627" i="24"/>
  <c r="J625" i="24"/>
  <c r="J624" i="24"/>
  <c r="J623" i="24"/>
  <c r="J618" i="24"/>
  <c r="J617" i="24"/>
  <c r="J616" i="24"/>
  <c r="J615" i="24"/>
  <c r="J614" i="24"/>
  <c r="J613" i="24"/>
  <c r="I610" i="24"/>
  <c r="J610" i="24" s="1"/>
  <c r="J609" i="24"/>
  <c r="J608" i="24"/>
  <c r="J607" i="24"/>
  <c r="J606" i="24"/>
  <c r="J605" i="24"/>
  <c r="J604" i="24"/>
  <c r="J603" i="24"/>
  <c r="J601" i="24"/>
  <c r="J600" i="24"/>
  <c r="J599" i="24"/>
  <c r="J598" i="24"/>
  <c r="J597" i="24"/>
  <c r="J596" i="24"/>
  <c r="J595" i="24"/>
  <c r="J594" i="24"/>
  <c r="J593" i="24"/>
  <c r="J592" i="24"/>
  <c r="J591" i="24"/>
  <c r="J590" i="24"/>
  <c r="J589" i="24"/>
  <c r="J588" i="24"/>
  <c r="J587" i="24"/>
  <c r="J586" i="24"/>
  <c r="J585" i="24"/>
  <c r="J584" i="24"/>
  <c r="G583" i="24"/>
  <c r="G582" i="24"/>
  <c r="J581" i="24"/>
  <c r="J580" i="24"/>
  <c r="J579" i="24"/>
  <c r="J578" i="24"/>
  <c r="J577" i="24"/>
  <c r="J576" i="24"/>
  <c r="J575" i="24"/>
  <c r="J574" i="24"/>
  <c r="J573" i="24"/>
  <c r="J572" i="24"/>
  <c r="J571" i="24"/>
  <c r="J570" i="24"/>
  <c r="J566" i="24"/>
  <c r="J565" i="24"/>
  <c r="J564" i="24"/>
  <c r="J563" i="24"/>
  <c r="J562" i="24"/>
  <c r="J561" i="24"/>
  <c r="I560" i="24"/>
  <c r="J560" i="24" s="1"/>
  <c r="G557" i="24"/>
  <c r="G556" i="24"/>
  <c r="G555" i="24"/>
  <c r="J552" i="24"/>
  <c r="J550" i="24"/>
  <c r="J549" i="24"/>
  <c r="J546" i="24"/>
  <c r="J545" i="24"/>
  <c r="J544" i="24"/>
  <c r="J543" i="24"/>
  <c r="J542" i="24"/>
  <c r="J541" i="24"/>
  <c r="J540" i="24"/>
  <c r="J539" i="24"/>
  <c r="J538" i="24"/>
  <c r="J537" i="24"/>
  <c r="J536" i="24"/>
  <c r="J533" i="24"/>
  <c r="J532" i="24"/>
  <c r="J531" i="24"/>
  <c r="J529" i="24"/>
  <c r="J528" i="24"/>
  <c r="J527" i="24"/>
  <c r="J526" i="24"/>
  <c r="J525" i="24"/>
  <c r="J524" i="24"/>
  <c r="J523" i="24"/>
  <c r="J521" i="24"/>
  <c r="J518" i="24"/>
  <c r="J513" i="24"/>
  <c r="J511" i="24"/>
  <c r="J510" i="24"/>
  <c r="J509" i="24"/>
  <c r="J508" i="24"/>
  <c r="J505" i="24"/>
  <c r="J504" i="24"/>
  <c r="J503" i="24"/>
  <c r="J502" i="24"/>
  <c r="J501" i="24"/>
  <c r="J498" i="24"/>
  <c r="J497" i="24"/>
  <c r="J496" i="24"/>
  <c r="J495" i="24"/>
  <c r="J494" i="24"/>
  <c r="J493" i="24"/>
  <c r="J492" i="24"/>
  <c r="J491" i="24"/>
  <c r="J490" i="24"/>
  <c r="J489" i="24"/>
  <c r="J488" i="24"/>
  <c r="J487" i="24"/>
  <c r="J486" i="24"/>
  <c r="J485" i="24"/>
  <c r="J484" i="24"/>
  <c r="J483" i="24"/>
  <c r="J482" i="24"/>
  <c r="J481" i="24"/>
  <c r="J480" i="24"/>
  <c r="J479" i="24"/>
  <c r="J478" i="24"/>
  <c r="J477" i="24"/>
  <c r="J476" i="24"/>
  <c r="G476" i="24"/>
  <c r="J475" i="24"/>
  <c r="J474" i="24"/>
  <c r="J473" i="24"/>
  <c r="J471" i="24"/>
  <c r="J470" i="24"/>
  <c r="G470" i="24"/>
  <c r="J468" i="24"/>
  <c r="G468" i="24"/>
  <c r="J467" i="24"/>
  <c r="J466" i="24"/>
  <c r="G466" i="24"/>
  <c r="J465" i="24"/>
  <c r="J464" i="24"/>
  <c r="G464" i="24"/>
  <c r="J463" i="24"/>
  <c r="G463" i="24"/>
  <c r="J462" i="24"/>
  <c r="J461" i="24"/>
  <c r="J460" i="24"/>
  <c r="J459" i="24"/>
  <c r="J458" i="24"/>
  <c r="J457" i="24"/>
  <c r="J452" i="24"/>
  <c r="G452" i="24"/>
  <c r="J451" i="24"/>
  <c r="J450" i="24"/>
  <c r="J449" i="24"/>
  <c r="J447" i="24"/>
  <c r="J446" i="24"/>
  <c r="J445" i="24"/>
  <c r="J441" i="24"/>
  <c r="J440" i="24"/>
  <c r="J439" i="24"/>
  <c r="J438" i="24"/>
  <c r="J437" i="24"/>
  <c r="J436" i="24"/>
  <c r="J435" i="24"/>
  <c r="J434" i="24"/>
  <c r="G434" i="24"/>
  <c r="J430" i="24"/>
  <c r="J429" i="24"/>
  <c r="J428" i="24"/>
  <c r="J427" i="24"/>
  <c r="J424" i="24"/>
  <c r="J423" i="24"/>
  <c r="J422" i="24"/>
  <c r="J421" i="24"/>
  <c r="J420" i="24"/>
  <c r="J419" i="24"/>
  <c r="G419" i="24"/>
  <c r="J418" i="24"/>
  <c r="J417" i="24"/>
  <c r="J416" i="24"/>
  <c r="J415" i="24"/>
  <c r="J414" i="24"/>
  <c r="J413" i="24"/>
  <c r="J412" i="24"/>
  <c r="J411" i="24"/>
  <c r="J410" i="24"/>
  <c r="J409" i="24"/>
  <c r="J408" i="24"/>
  <c r="J407" i="24"/>
  <c r="J406" i="24"/>
  <c r="J405" i="24"/>
  <c r="J404" i="24"/>
  <c r="J403" i="24"/>
  <c r="J402" i="24"/>
  <c r="J401" i="24"/>
  <c r="J400" i="24"/>
  <c r="J399" i="24"/>
  <c r="J398" i="24"/>
  <c r="J397" i="24"/>
  <c r="J396" i="24"/>
  <c r="J395" i="24"/>
  <c r="H394" i="24"/>
  <c r="J394" i="24" s="1"/>
  <c r="L393" i="24"/>
  <c r="I393" i="24"/>
  <c r="J393" i="24" s="1"/>
  <c r="I392" i="24"/>
  <c r="J392" i="24" s="1"/>
  <c r="J391" i="24"/>
  <c r="J390" i="24"/>
  <c r="J389" i="24"/>
  <c r="J388" i="24"/>
  <c r="J387" i="24"/>
  <c r="J386" i="24"/>
  <c r="J385" i="24"/>
  <c r="J384" i="24"/>
  <c r="J383" i="24"/>
  <c r="J382" i="24"/>
  <c r="J374" i="24"/>
  <c r="J373" i="24"/>
  <c r="J372" i="24"/>
  <c r="J371" i="24"/>
  <c r="J370" i="24"/>
  <c r="J369" i="24"/>
  <c r="J368" i="24"/>
  <c r="J367" i="24"/>
  <c r="J366" i="24"/>
  <c r="J365" i="24"/>
  <c r="K364" i="24"/>
  <c r="J364" i="24"/>
  <c r="K363" i="24"/>
  <c r="J363" i="24"/>
  <c r="J362" i="24"/>
  <c r="J361" i="24"/>
  <c r="J360" i="24"/>
  <c r="J359" i="24"/>
  <c r="J358" i="24"/>
  <c r="H357" i="24"/>
  <c r="J357" i="24" s="1"/>
  <c r="J356" i="24"/>
  <c r="J355" i="24"/>
  <c r="J354" i="24"/>
  <c r="J353" i="24"/>
  <c r="J352" i="24"/>
  <c r="J351" i="24"/>
  <c r="J350" i="24"/>
  <c r="J349" i="24"/>
  <c r="G349" i="24"/>
  <c r="J346" i="24"/>
  <c r="J345" i="24"/>
  <c r="J344" i="24"/>
  <c r="J343" i="24"/>
  <c r="J342" i="24"/>
  <c r="G342" i="24"/>
  <c r="J337" i="24"/>
  <c r="J336" i="24"/>
  <c r="J335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G317" i="24"/>
  <c r="J316" i="24"/>
  <c r="G316" i="24"/>
  <c r="J315" i="24"/>
  <c r="J314" i="24"/>
  <c r="K313" i="24"/>
  <c r="J313" i="24"/>
  <c r="J312" i="24"/>
  <c r="J306" i="24"/>
  <c r="J305" i="24"/>
  <c r="G305" i="24"/>
  <c r="J304" i="24"/>
  <c r="J303" i="24"/>
  <c r="J300" i="24"/>
  <c r="G299" i="24"/>
  <c r="J290" i="24"/>
  <c r="J289" i="24"/>
  <c r="J288" i="24"/>
  <c r="J285" i="24"/>
  <c r="J280" i="24"/>
  <c r="I279" i="24"/>
  <c r="J279" i="24" s="1"/>
  <c r="I278" i="24"/>
  <c r="J278" i="24" s="1"/>
  <c r="J277" i="24"/>
  <c r="G277" i="24"/>
  <c r="J276" i="24"/>
  <c r="G276" i="24"/>
  <c r="J275" i="24"/>
  <c r="J274" i="24"/>
  <c r="J273" i="24"/>
  <c r="J272" i="24"/>
  <c r="G272" i="24"/>
  <c r="J271" i="24"/>
  <c r="J270" i="24"/>
  <c r="J269" i="24"/>
  <c r="J268" i="24"/>
  <c r="J263" i="24"/>
  <c r="J262" i="24"/>
  <c r="J261" i="24"/>
  <c r="J260" i="24"/>
  <c r="J259" i="24"/>
  <c r="J258" i="24"/>
  <c r="J257" i="24"/>
  <c r="J256" i="24"/>
  <c r="I255" i="24"/>
  <c r="J255" i="24" s="1"/>
  <c r="I254" i="24"/>
  <c r="J254" i="24" s="1"/>
  <c r="J253" i="24"/>
  <c r="J252" i="24"/>
  <c r="J248" i="24"/>
  <c r="J247" i="24"/>
  <c r="J246" i="24"/>
  <c r="J245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G224" i="24"/>
  <c r="J219" i="24"/>
  <c r="J218" i="24"/>
  <c r="J217" i="24"/>
  <c r="J216" i="24"/>
  <c r="J212" i="24"/>
  <c r="J208" i="24"/>
  <c r="J207" i="24"/>
  <c r="J206" i="24"/>
  <c r="J205" i="24"/>
  <c r="J204" i="24"/>
  <c r="J203" i="24"/>
  <c r="J200" i="24"/>
  <c r="J199" i="24"/>
  <c r="J198" i="24"/>
  <c r="J197" i="24"/>
  <c r="J194" i="24"/>
  <c r="J193" i="24"/>
  <c r="J192" i="24"/>
  <c r="J191" i="24"/>
  <c r="J189" i="24"/>
  <c r="J185" i="24"/>
  <c r="J184" i="24"/>
  <c r="J183" i="24"/>
  <c r="J182" i="24"/>
  <c r="J179" i="24"/>
  <c r="J178" i="24"/>
  <c r="J177" i="24"/>
  <c r="J176" i="24"/>
  <c r="J175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58" i="24"/>
  <c r="J156" i="24"/>
  <c r="J154" i="24"/>
  <c r="J153" i="24"/>
  <c r="J152" i="24"/>
  <c r="J150" i="24"/>
  <c r="J147" i="24"/>
  <c r="J146" i="24"/>
  <c r="J145" i="24"/>
  <c r="J144" i="24"/>
  <c r="J143" i="24"/>
  <c r="J142" i="24"/>
  <c r="J141" i="24"/>
  <c r="J138" i="24"/>
  <c r="J133" i="24"/>
  <c r="J129" i="24"/>
  <c r="G129" i="24"/>
  <c r="J128" i="24"/>
  <c r="G128" i="24"/>
  <c r="J127" i="24"/>
  <c r="G127" i="24"/>
  <c r="J125" i="24"/>
  <c r="J124" i="24"/>
  <c r="J123" i="24"/>
  <c r="J122" i="24"/>
  <c r="J121" i="24"/>
  <c r="I120" i="24"/>
  <c r="J119" i="24"/>
  <c r="J118" i="24"/>
  <c r="J117" i="24"/>
  <c r="J116" i="24"/>
  <c r="J115" i="24"/>
  <c r="J114" i="24"/>
  <c r="J113" i="24"/>
  <c r="J112" i="24"/>
  <c r="J109" i="24"/>
  <c r="J108" i="24"/>
  <c r="J107" i="24"/>
  <c r="J106" i="24"/>
  <c r="J105" i="24"/>
  <c r="G105" i="24"/>
  <c r="J104" i="24"/>
  <c r="J103" i="24"/>
  <c r="J101" i="24"/>
  <c r="J96" i="24"/>
  <c r="J95" i="24"/>
  <c r="J94" i="24"/>
  <c r="G94" i="24"/>
  <c r="J93" i="24"/>
  <c r="G93" i="24"/>
  <c r="J92" i="24"/>
  <c r="J91" i="24"/>
  <c r="J84" i="24"/>
  <c r="J83" i="24"/>
  <c r="J82" i="24"/>
  <c r="J81" i="24"/>
  <c r="J80" i="24"/>
  <c r="J79" i="24"/>
  <c r="J78" i="24"/>
  <c r="J77" i="24"/>
  <c r="J76" i="24"/>
  <c r="I75" i="24"/>
  <c r="J75" i="24" s="1"/>
  <c r="I74" i="24"/>
  <c r="J74" i="24" s="1"/>
  <c r="J73" i="24"/>
  <c r="J71" i="24"/>
  <c r="J70" i="24"/>
  <c r="J69" i="24"/>
  <c r="J68" i="24"/>
  <c r="J67" i="24"/>
  <c r="J66" i="24"/>
  <c r="J65" i="24"/>
  <c r="J64" i="24"/>
  <c r="J63" i="24"/>
  <c r="J62" i="24"/>
  <c r="J61" i="24"/>
  <c r="J59" i="24"/>
  <c r="J58" i="24"/>
  <c r="J38" i="24"/>
  <c r="J28" i="24"/>
  <c r="J27" i="24"/>
  <c r="J26" i="24"/>
  <c r="J21" i="24"/>
  <c r="J15" i="24"/>
  <c r="H16" i="88"/>
  <c r="J16" i="88" s="1"/>
  <c r="J3" i="88"/>
  <c r="J32" i="87"/>
  <c r="J31" i="87"/>
  <c r="J30" i="87"/>
  <c r="J29" i="87"/>
  <c r="J16" i="87"/>
  <c r="J3" i="87"/>
  <c r="J3" i="86"/>
  <c r="J16" i="85"/>
  <c r="J18" i="84"/>
  <c r="J5" i="84"/>
  <c r="J4" i="84"/>
  <c r="J3" i="84"/>
  <c r="J32" i="83"/>
  <c r="J31" i="83"/>
  <c r="J18" i="83"/>
  <c r="J17" i="83"/>
  <c r="J16" i="83"/>
  <c r="J3" i="83"/>
  <c r="J4" i="79"/>
  <c r="J3" i="79"/>
  <c r="J3" i="77"/>
  <c r="J4" i="76"/>
  <c r="J3" i="76"/>
  <c r="I16" i="75"/>
  <c r="J47" i="73"/>
  <c r="I44" i="73"/>
  <c r="J18" i="73"/>
  <c r="J17" i="73"/>
  <c r="J16" i="73"/>
  <c r="J32" i="72"/>
  <c r="J29" i="71"/>
  <c r="J16" i="71"/>
  <c r="J17" i="70"/>
  <c r="J16" i="70"/>
  <c r="J3" i="70"/>
  <c r="J32" i="49"/>
  <c r="J31" i="49"/>
  <c r="J30" i="49"/>
  <c r="K30" i="49" s="1"/>
  <c r="J29" i="49"/>
  <c r="K29" i="49" s="1"/>
  <c r="G29" i="49" s="1"/>
  <c r="J28" i="49"/>
  <c r="K28" i="49" s="1"/>
  <c r="J27" i="49"/>
  <c r="K27" i="49" s="1"/>
  <c r="J26" i="49"/>
  <c r="K26" i="49" s="1"/>
  <c r="J25" i="49"/>
  <c r="K25" i="49" s="1"/>
  <c r="J24" i="49"/>
  <c r="K24" i="49" s="1"/>
  <c r="J23" i="49"/>
  <c r="K23" i="49" s="1"/>
  <c r="J22" i="49"/>
  <c r="K22" i="49" s="1"/>
  <c r="J21" i="49"/>
  <c r="K21" i="49" s="1"/>
  <c r="J20" i="49"/>
  <c r="K20" i="49" s="1"/>
  <c r="J19" i="49"/>
  <c r="K19" i="49" s="1"/>
  <c r="J18" i="49"/>
  <c r="K18" i="49" s="1"/>
  <c r="J17" i="49"/>
  <c r="K17" i="49" s="1"/>
  <c r="J16" i="49"/>
  <c r="K16" i="49" s="1"/>
  <c r="J15" i="49"/>
  <c r="K15" i="49" s="1"/>
  <c r="J14" i="49"/>
  <c r="K14" i="49" s="1"/>
  <c r="J13" i="49"/>
  <c r="K13" i="49" s="1"/>
  <c r="J12" i="49"/>
  <c r="K12" i="49" s="1"/>
  <c r="J11" i="49"/>
  <c r="K11" i="49" s="1"/>
  <c r="J10" i="49"/>
  <c r="K10" i="49" s="1"/>
  <c r="J9" i="49"/>
  <c r="K9" i="49" s="1"/>
  <c r="J8" i="49"/>
  <c r="K8" i="49" s="1"/>
  <c r="J7" i="49"/>
  <c r="K7" i="49" s="1"/>
  <c r="J6" i="49"/>
  <c r="K6" i="49" s="1"/>
  <c r="J5" i="49"/>
  <c r="K5" i="49" s="1"/>
  <c r="J4" i="49"/>
  <c r="K4" i="49" s="1"/>
  <c r="J3" i="49"/>
  <c r="K3" i="49" s="1"/>
  <c r="J2" i="49"/>
  <c r="K2" i="49" s="1"/>
  <c r="J3" i="68"/>
  <c r="J16" i="67"/>
  <c r="J3" i="67"/>
  <c r="J4" i="66"/>
  <c r="J3" i="66"/>
  <c r="J65" i="65"/>
  <c r="J64" i="65"/>
  <c r="J56" i="65"/>
  <c r="J44" i="65"/>
  <c r="J31" i="65"/>
  <c r="J30" i="65"/>
  <c r="J18" i="65"/>
  <c r="J17" i="65"/>
  <c r="J4" i="65"/>
  <c r="J3" i="65"/>
  <c r="J5" i="64"/>
  <c r="I15" i="62"/>
  <c r="G15" i="62"/>
  <c r="J3" i="62"/>
  <c r="J19" i="60"/>
  <c r="J18" i="60"/>
  <c r="J17" i="60"/>
  <c r="J3" i="61"/>
  <c r="J5" i="59"/>
  <c r="J5" i="58"/>
  <c r="J24" i="57"/>
  <c r="J14" i="57"/>
  <c r="G14" i="57"/>
  <c r="J13" i="57"/>
  <c r="G13" i="57"/>
  <c r="J12" i="57"/>
  <c r="G12" i="57"/>
  <c r="J3" i="57"/>
  <c r="J14" i="56"/>
  <c r="J3" i="56"/>
  <c r="J12" i="55"/>
  <c r="I3" i="55"/>
  <c r="J4" i="54"/>
  <c r="J3" i="54"/>
  <c r="J3" i="53"/>
  <c r="J35" i="52"/>
  <c r="J34" i="52"/>
  <c r="J33" i="52"/>
  <c r="J22" i="52"/>
  <c r="J21" i="52"/>
  <c r="J13" i="52"/>
  <c r="J3" i="52"/>
  <c r="J17" i="50"/>
  <c r="J16" i="50"/>
  <c r="J4" i="50"/>
  <c r="J3" i="50"/>
  <c r="G3" i="50"/>
  <c r="J78" i="48"/>
  <c r="J77" i="48"/>
  <c r="J68" i="48"/>
  <c r="G68" i="48"/>
  <c r="J67" i="48"/>
  <c r="G67" i="48"/>
  <c r="J66" i="48"/>
  <c r="G66" i="48"/>
  <c r="J57" i="48"/>
  <c r="J49" i="48"/>
  <c r="J39" i="48"/>
  <c r="J38" i="48"/>
  <c r="J26" i="48"/>
  <c r="G26" i="48"/>
  <c r="J25" i="48"/>
  <c r="G25" i="48"/>
  <c r="J13" i="48"/>
  <c r="J3" i="48"/>
  <c r="J25" i="47"/>
  <c r="J24" i="47"/>
  <c r="J15" i="47"/>
  <c r="G15" i="47"/>
  <c r="J3" i="47"/>
  <c r="G3" i="47"/>
  <c r="J50" i="46"/>
  <c r="J41" i="46"/>
  <c r="J30" i="46"/>
  <c r="J4" i="46"/>
  <c r="J3" i="46"/>
  <c r="J13" i="45"/>
  <c r="J3" i="45"/>
  <c r="J4" i="44"/>
  <c r="J3" i="44"/>
  <c r="J26" i="42"/>
  <c r="J16" i="42"/>
  <c r="J15" i="42"/>
  <c r="J3" i="42"/>
  <c r="I18" i="43"/>
  <c r="J18" i="43" s="1"/>
  <c r="I17" i="43"/>
  <c r="J17" i="43" s="1"/>
  <c r="J6" i="43"/>
  <c r="G6" i="43"/>
  <c r="J5" i="43"/>
  <c r="G5" i="43"/>
  <c r="J4" i="43"/>
  <c r="G4" i="43"/>
  <c r="J3" i="43"/>
  <c r="G3" i="43"/>
  <c r="J41" i="41"/>
  <c r="J40" i="41"/>
  <c r="I29" i="41"/>
  <c r="J29" i="41" s="1"/>
  <c r="I28" i="41"/>
  <c r="J28" i="41" s="1"/>
  <c r="J15" i="41"/>
  <c r="J3" i="41"/>
  <c r="J3" i="38"/>
  <c r="J30" i="36"/>
  <c r="J19" i="36"/>
  <c r="J6" i="36"/>
  <c r="J5" i="36"/>
  <c r="J4" i="36"/>
  <c r="J3" i="36"/>
  <c r="J70" i="35"/>
  <c r="J58" i="35"/>
  <c r="J48" i="35"/>
  <c r="J38" i="35"/>
  <c r="J27" i="35"/>
  <c r="J14" i="35"/>
  <c r="J3" i="35"/>
  <c r="J33" i="33"/>
  <c r="J23" i="33"/>
  <c r="J12" i="33"/>
  <c r="J4" i="33"/>
  <c r="J7" i="32"/>
  <c r="J6" i="32"/>
  <c r="J5" i="32"/>
  <c r="J4" i="32"/>
  <c r="J3" i="32"/>
  <c r="J17" i="31"/>
  <c r="J6" i="31"/>
  <c r="J5" i="31"/>
  <c r="J13" i="29"/>
  <c r="M37" i="28"/>
  <c r="J25" i="28"/>
  <c r="M35" i="26"/>
  <c r="J33" i="26"/>
  <c r="J23" i="26"/>
  <c r="J13" i="26"/>
  <c r="J3" i="26"/>
  <c r="M8" i="23"/>
  <c r="M5" i="22"/>
  <c r="J3" i="22"/>
  <c r="M29" i="20"/>
  <c r="J27" i="20"/>
  <c r="M19" i="20"/>
  <c r="J15" i="20"/>
  <c r="M29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12" i="17"/>
  <c r="I12" i="17"/>
  <c r="G12" i="17"/>
  <c r="J11" i="17"/>
  <c r="I11" i="17"/>
  <c r="G11" i="17"/>
  <c r="J7" i="17"/>
  <c r="I7" i="17"/>
  <c r="G7" i="17"/>
  <c r="J6" i="17"/>
  <c r="I6" i="17"/>
  <c r="G6" i="17"/>
  <c r="J5" i="17"/>
  <c r="I5" i="17"/>
  <c r="G5" i="17"/>
  <c r="J4" i="17"/>
  <c r="I4" i="17"/>
  <c r="G4" i="17"/>
  <c r="J3" i="17"/>
  <c r="I3" i="17"/>
  <c r="G3" i="17"/>
  <c r="U2" i="17"/>
  <c r="J2" i="17"/>
  <c r="I2" i="17"/>
  <c r="G2" i="17"/>
  <c r="J4" i="15"/>
  <c r="I16" i="14"/>
  <c r="I15" i="14"/>
  <c r="N67" i="95" l="1"/>
  <c r="O67" i="95"/>
  <c r="N75" i="95"/>
  <c r="O75" i="95"/>
  <c r="N83" i="95"/>
  <c r="O83" i="95"/>
  <c r="N3" i="95"/>
  <c r="O3" i="95"/>
  <c r="N35" i="95"/>
  <c r="O35" i="95"/>
  <c r="N51" i="95"/>
  <c r="O51" i="95"/>
  <c r="O71" i="95"/>
  <c r="N71" i="95"/>
  <c r="O4" i="95"/>
  <c r="N4" i="95"/>
  <c r="N11" i="95"/>
  <c r="O11" i="95"/>
  <c r="O30" i="95"/>
  <c r="N30" i="95"/>
  <c r="O36" i="95"/>
  <c r="N36" i="95"/>
  <c r="O46" i="95"/>
  <c r="N46" i="95"/>
  <c r="O52" i="95"/>
  <c r="N52" i="95"/>
  <c r="O62" i="95"/>
  <c r="N62" i="95"/>
  <c r="O72" i="95"/>
  <c r="N72" i="95"/>
  <c r="O76" i="95"/>
  <c r="N76" i="95"/>
  <c r="O5" i="95"/>
  <c r="N5" i="95"/>
  <c r="O12" i="95"/>
  <c r="N12" i="95"/>
  <c r="N19" i="95"/>
  <c r="O19" i="95"/>
  <c r="O31" i="95"/>
  <c r="N31" i="95"/>
  <c r="O47" i="95"/>
  <c r="N47" i="95"/>
  <c r="O63" i="95"/>
  <c r="N63" i="95"/>
  <c r="O6" i="95"/>
  <c r="N6" i="95"/>
  <c r="O13" i="95"/>
  <c r="N13" i="95"/>
  <c r="O20" i="95"/>
  <c r="N20" i="95"/>
  <c r="O32" i="95"/>
  <c r="N32" i="95"/>
  <c r="O48" i="95"/>
  <c r="N48" i="95"/>
  <c r="O64" i="95"/>
  <c r="N64" i="95"/>
  <c r="O68" i="95"/>
  <c r="N68" i="95"/>
  <c r="O86" i="95"/>
  <c r="N86" i="95"/>
  <c r="O7" i="95"/>
  <c r="N7" i="95"/>
  <c r="O14" i="95"/>
  <c r="N14" i="95"/>
  <c r="O21" i="95"/>
  <c r="N21" i="95"/>
  <c r="N27" i="95"/>
  <c r="O27" i="95"/>
  <c r="N43" i="95"/>
  <c r="O43" i="95"/>
  <c r="N59" i="95"/>
  <c r="O59" i="95"/>
  <c r="O87" i="95"/>
  <c r="N87" i="95"/>
  <c r="O8" i="95"/>
  <c r="N8" i="95"/>
  <c r="O15" i="95"/>
  <c r="N15" i="95"/>
  <c r="O22" i="95"/>
  <c r="N22" i="95"/>
  <c r="O28" i="95"/>
  <c r="N28" i="95"/>
  <c r="O38" i="95"/>
  <c r="N38" i="95"/>
  <c r="O44" i="95"/>
  <c r="N44" i="95"/>
  <c r="O54" i="95"/>
  <c r="N54" i="95"/>
  <c r="O60" i="95"/>
  <c r="N60" i="95"/>
  <c r="O78" i="95"/>
  <c r="N78" i="95"/>
  <c r="O9" i="95"/>
  <c r="N9" i="95"/>
  <c r="O16" i="95"/>
  <c r="N16" i="95"/>
  <c r="O23" i="95"/>
  <c r="N23" i="95"/>
  <c r="O39" i="95"/>
  <c r="N39" i="95"/>
  <c r="O55" i="95"/>
  <c r="N55" i="95"/>
  <c r="O79" i="95"/>
  <c r="N79" i="95"/>
  <c r="O17" i="95"/>
  <c r="N17" i="95"/>
  <c r="O24" i="95"/>
  <c r="N24" i="95"/>
  <c r="O40" i="95"/>
  <c r="N40" i="95"/>
  <c r="O56" i="95"/>
  <c r="N56" i="95"/>
  <c r="O70" i="95"/>
  <c r="N70" i="95"/>
  <c r="O80" i="95"/>
  <c r="N80" i="95"/>
  <c r="O84" i="95"/>
  <c r="N84" i="95"/>
  <c r="O91" i="95"/>
  <c r="N91" i="95"/>
  <c r="O99" i="95"/>
  <c r="N99" i="95"/>
  <c r="O107" i="95"/>
  <c r="N107" i="95"/>
  <c r="O115" i="95"/>
  <c r="N115" i="95"/>
  <c r="O123" i="95"/>
  <c r="N123" i="95"/>
  <c r="O131" i="95"/>
  <c r="N131" i="95"/>
  <c r="O139" i="95"/>
  <c r="N139" i="95"/>
  <c r="O147" i="95"/>
  <c r="N147" i="95"/>
  <c r="O155" i="95"/>
  <c r="N155" i="95"/>
  <c r="N162" i="95"/>
  <c r="O162" i="95"/>
  <c r="N170" i="95"/>
  <c r="O170" i="95"/>
  <c r="O177" i="95"/>
  <c r="N177" i="95"/>
  <c r="O184" i="95"/>
  <c r="N184" i="95"/>
  <c r="O206" i="95"/>
  <c r="N206" i="95"/>
  <c r="O213" i="95"/>
  <c r="N213" i="95"/>
  <c r="O220" i="95"/>
  <c r="N220" i="95"/>
  <c r="O233" i="95"/>
  <c r="N233" i="95"/>
  <c r="O239" i="95"/>
  <c r="N239" i="95"/>
  <c r="O245" i="95"/>
  <c r="N245" i="95"/>
  <c r="O92" i="95"/>
  <c r="N92" i="95"/>
  <c r="O100" i="95"/>
  <c r="N100" i="95"/>
  <c r="O108" i="95"/>
  <c r="N108" i="95"/>
  <c r="O116" i="95"/>
  <c r="N116" i="95"/>
  <c r="O124" i="95"/>
  <c r="N124" i="95"/>
  <c r="O132" i="95"/>
  <c r="N132" i="95"/>
  <c r="O140" i="95"/>
  <c r="N140" i="95"/>
  <c r="O148" i="95"/>
  <c r="N148" i="95"/>
  <c r="O156" i="95"/>
  <c r="N156" i="95"/>
  <c r="O163" i="95"/>
  <c r="N163" i="95"/>
  <c r="O171" i="95"/>
  <c r="N171" i="95"/>
  <c r="N178" i="95"/>
  <c r="O178" i="95"/>
  <c r="O185" i="95"/>
  <c r="N185" i="95"/>
  <c r="O192" i="95"/>
  <c r="N192" i="95"/>
  <c r="O214" i="95"/>
  <c r="N214" i="95"/>
  <c r="O221" i="95"/>
  <c r="N221" i="95"/>
  <c r="O240" i="95"/>
  <c r="N240" i="95"/>
  <c r="O246" i="95"/>
  <c r="N246" i="95"/>
  <c r="N2" i="95"/>
  <c r="N10" i="95"/>
  <c r="N18" i="95"/>
  <c r="N26" i="95"/>
  <c r="O29" i="95"/>
  <c r="P29" i="95" s="1"/>
  <c r="N34" i="95"/>
  <c r="O37" i="95"/>
  <c r="N42" i="95"/>
  <c r="O45" i="95"/>
  <c r="N50" i="95"/>
  <c r="O53" i="95"/>
  <c r="P53" i="95" s="1"/>
  <c r="N58" i="95"/>
  <c r="O61" i="95"/>
  <c r="N66" i="95"/>
  <c r="O69" i="95"/>
  <c r="N74" i="95"/>
  <c r="O77" i="95"/>
  <c r="N82" i="95"/>
  <c r="O85" i="95"/>
  <c r="O93" i="95"/>
  <c r="N93" i="95"/>
  <c r="O101" i="95"/>
  <c r="N101" i="95"/>
  <c r="O109" i="95"/>
  <c r="N109" i="95"/>
  <c r="O117" i="95"/>
  <c r="N117" i="95"/>
  <c r="O125" i="95"/>
  <c r="N125" i="95"/>
  <c r="O133" i="95"/>
  <c r="N133" i="95"/>
  <c r="O141" i="95"/>
  <c r="N141" i="95"/>
  <c r="O149" i="95"/>
  <c r="N149" i="95"/>
  <c r="O157" i="95"/>
  <c r="N157" i="95"/>
  <c r="O164" i="95"/>
  <c r="N164" i="95"/>
  <c r="O179" i="95"/>
  <c r="N179" i="95"/>
  <c r="N186" i="95"/>
  <c r="O186" i="95"/>
  <c r="O193" i="95"/>
  <c r="N193" i="95"/>
  <c r="O200" i="95"/>
  <c r="N200" i="95"/>
  <c r="O222" i="95"/>
  <c r="N222" i="95"/>
  <c r="O227" i="95"/>
  <c r="N227" i="95"/>
  <c r="O241" i="95"/>
  <c r="N241" i="95"/>
  <c r="O247" i="95"/>
  <c r="N247" i="95"/>
  <c r="O253" i="95"/>
  <c r="N253" i="95"/>
  <c r="O2" i="95"/>
  <c r="O10" i="95"/>
  <c r="O18" i="95"/>
  <c r="O26" i="95"/>
  <c r="O34" i="95"/>
  <c r="O42" i="95"/>
  <c r="O50" i="95"/>
  <c r="O58" i="95"/>
  <c r="O66" i="95"/>
  <c r="O74" i="95"/>
  <c r="O82" i="95"/>
  <c r="O94" i="95"/>
  <c r="N94" i="95"/>
  <c r="O102" i="95"/>
  <c r="N102" i="95"/>
  <c r="O110" i="95"/>
  <c r="N110" i="95"/>
  <c r="O118" i="95"/>
  <c r="N118" i="95"/>
  <c r="O126" i="95"/>
  <c r="N126" i="95"/>
  <c r="O134" i="95"/>
  <c r="N134" i="95"/>
  <c r="O142" i="95"/>
  <c r="N142" i="95"/>
  <c r="O150" i="95"/>
  <c r="N150" i="95"/>
  <c r="O158" i="95"/>
  <c r="N158" i="95"/>
  <c r="O165" i="95"/>
  <c r="N165" i="95"/>
  <c r="O187" i="95"/>
  <c r="N187" i="95"/>
  <c r="N194" i="95"/>
  <c r="O194" i="95"/>
  <c r="O201" i="95"/>
  <c r="N201" i="95"/>
  <c r="O208" i="95"/>
  <c r="N208" i="95"/>
  <c r="O228" i="95"/>
  <c r="N228" i="95"/>
  <c r="O235" i="95"/>
  <c r="N235" i="95"/>
  <c r="O248" i="95"/>
  <c r="N248" i="95"/>
  <c r="O95" i="95"/>
  <c r="N95" i="95"/>
  <c r="O103" i="95"/>
  <c r="N103" i="95"/>
  <c r="O111" i="95"/>
  <c r="N111" i="95"/>
  <c r="O119" i="95"/>
  <c r="N119" i="95"/>
  <c r="O127" i="95"/>
  <c r="N127" i="95"/>
  <c r="O135" i="95"/>
  <c r="N135" i="95"/>
  <c r="O143" i="95"/>
  <c r="N143" i="95"/>
  <c r="O151" i="95"/>
  <c r="N151" i="95"/>
  <c r="O159" i="95"/>
  <c r="N159" i="95"/>
  <c r="O166" i="95"/>
  <c r="N166" i="95"/>
  <c r="O173" i="95"/>
  <c r="N173" i="95"/>
  <c r="O188" i="95"/>
  <c r="N188" i="95"/>
  <c r="O195" i="95"/>
  <c r="N195" i="95"/>
  <c r="N202" i="95"/>
  <c r="O202" i="95"/>
  <c r="O209" i="95"/>
  <c r="N209" i="95"/>
  <c r="O216" i="95"/>
  <c r="N216" i="95"/>
  <c r="O229" i="95"/>
  <c r="N229" i="95"/>
  <c r="O249" i="95"/>
  <c r="N249" i="95"/>
  <c r="N25" i="95"/>
  <c r="N33" i="95"/>
  <c r="N41" i="95"/>
  <c r="N49" i="95"/>
  <c r="N57" i="95"/>
  <c r="N65" i="95"/>
  <c r="N73" i="95"/>
  <c r="N81" i="95"/>
  <c r="O88" i="95"/>
  <c r="N88" i="95"/>
  <c r="O96" i="95"/>
  <c r="N96" i="95"/>
  <c r="O104" i="95"/>
  <c r="N104" i="95"/>
  <c r="O112" i="95"/>
  <c r="N112" i="95"/>
  <c r="O120" i="95"/>
  <c r="N120" i="95"/>
  <c r="O128" i="95"/>
  <c r="N128" i="95"/>
  <c r="O136" i="95"/>
  <c r="N136" i="95"/>
  <c r="O144" i="95"/>
  <c r="N144" i="95"/>
  <c r="O152" i="95"/>
  <c r="N152" i="95"/>
  <c r="O160" i="95"/>
  <c r="N160" i="95"/>
  <c r="O167" i="95"/>
  <c r="N167" i="95"/>
  <c r="O174" i="95"/>
  <c r="N174" i="95"/>
  <c r="O181" i="95"/>
  <c r="N181" i="95"/>
  <c r="O189" i="95"/>
  <c r="N189" i="95"/>
  <c r="O196" i="95"/>
  <c r="N196" i="95"/>
  <c r="O203" i="95"/>
  <c r="N203" i="95"/>
  <c r="N210" i="95"/>
  <c r="O210" i="95"/>
  <c r="O217" i="95"/>
  <c r="N217" i="95"/>
  <c r="O224" i="95"/>
  <c r="N224" i="95"/>
  <c r="O230" i="95"/>
  <c r="N230" i="95"/>
  <c r="O243" i="95"/>
  <c r="N243" i="95"/>
  <c r="O255" i="95"/>
  <c r="N255" i="95"/>
  <c r="O25" i="95"/>
  <c r="O33" i="95"/>
  <c r="O41" i="95"/>
  <c r="O49" i="95"/>
  <c r="O57" i="95"/>
  <c r="O65" i="95"/>
  <c r="O73" i="95"/>
  <c r="O81" i="95"/>
  <c r="O89" i="95"/>
  <c r="N89" i="95"/>
  <c r="O97" i="95"/>
  <c r="N97" i="95"/>
  <c r="O105" i="95"/>
  <c r="N105" i="95"/>
  <c r="O113" i="95"/>
  <c r="N113" i="95"/>
  <c r="O121" i="95"/>
  <c r="N121" i="95"/>
  <c r="O129" i="95"/>
  <c r="N129" i="95"/>
  <c r="O137" i="95"/>
  <c r="N137" i="95"/>
  <c r="O145" i="95"/>
  <c r="N145" i="95"/>
  <c r="O153" i="95"/>
  <c r="N153" i="95"/>
  <c r="O168" i="95"/>
  <c r="N168" i="95"/>
  <c r="O175" i="95"/>
  <c r="N175" i="95"/>
  <c r="O182" i="95"/>
  <c r="N182" i="95"/>
  <c r="O190" i="95"/>
  <c r="N190" i="95"/>
  <c r="O197" i="95"/>
  <c r="N197" i="95"/>
  <c r="O204" i="95"/>
  <c r="N204" i="95"/>
  <c r="O211" i="95"/>
  <c r="N211" i="95"/>
  <c r="N218" i="95"/>
  <c r="O218" i="95"/>
  <c r="O225" i="95"/>
  <c r="N225" i="95"/>
  <c r="O231" i="95"/>
  <c r="N231" i="95"/>
  <c r="O237" i="95"/>
  <c r="N237" i="95"/>
  <c r="O256" i="95"/>
  <c r="N256" i="95"/>
  <c r="N90" i="95"/>
  <c r="O90" i="95"/>
  <c r="N98" i="95"/>
  <c r="O98" i="95"/>
  <c r="N106" i="95"/>
  <c r="O106" i="95"/>
  <c r="N114" i="95"/>
  <c r="O114" i="95"/>
  <c r="N122" i="95"/>
  <c r="O122" i="95"/>
  <c r="N130" i="95"/>
  <c r="O130" i="95"/>
  <c r="N138" i="95"/>
  <c r="O138" i="95"/>
  <c r="N146" i="95"/>
  <c r="O146" i="95"/>
  <c r="N154" i="95"/>
  <c r="O154" i="95"/>
  <c r="O169" i="95"/>
  <c r="N169" i="95"/>
  <c r="O176" i="95"/>
  <c r="N176" i="95"/>
  <c r="O183" i="95"/>
  <c r="N183" i="95"/>
  <c r="O198" i="95"/>
  <c r="N198" i="95"/>
  <c r="O205" i="95"/>
  <c r="N205" i="95"/>
  <c r="O212" i="95"/>
  <c r="N212" i="95"/>
  <c r="O219" i="95"/>
  <c r="N219" i="95"/>
  <c r="O232" i="95"/>
  <c r="N232" i="95"/>
  <c r="O238" i="95"/>
  <c r="N238" i="95"/>
  <c r="O251" i="95"/>
  <c r="N251" i="95"/>
  <c r="O257" i="95"/>
  <c r="N257" i="95"/>
  <c r="N191" i="95"/>
  <c r="N199" i="95"/>
  <c r="N207" i="95"/>
  <c r="N215" i="95"/>
  <c r="N223" i="95"/>
  <c r="O226" i="95"/>
  <c r="P226" i="95" s="1"/>
  <c r="Q226" i="95" s="1"/>
  <c r="S226" i="95" s="1"/>
  <c r="O234" i="95"/>
  <c r="P234" i="95" s="1"/>
  <c r="O242" i="95"/>
  <c r="P242" i="95" s="1"/>
  <c r="O250" i="95"/>
  <c r="O258" i="95"/>
  <c r="N172" i="95"/>
  <c r="N180" i="95"/>
  <c r="O191" i="95"/>
  <c r="O199" i="95"/>
  <c r="O207" i="95"/>
  <c r="O215" i="95"/>
  <c r="O223" i="95"/>
  <c r="N236" i="95"/>
  <c r="N244" i="95"/>
  <c r="N252" i="95"/>
  <c r="N161" i="95"/>
  <c r="O172" i="95"/>
  <c r="O180" i="95"/>
  <c r="O236" i="95"/>
  <c r="O244" i="95"/>
  <c r="O252" i="95"/>
  <c r="O161" i="95"/>
  <c r="N254" i="95"/>
  <c r="O254" i="95"/>
  <c r="K284" i="95"/>
  <c r="L284" i="95" s="1"/>
  <c r="M284" i="95" s="1"/>
  <c r="L273" i="95"/>
  <c r="M273" i="95" s="1"/>
  <c r="L279" i="95"/>
  <c r="M279" i="95" s="1"/>
  <c r="L270" i="95"/>
  <c r="M270" i="95" s="1"/>
  <c r="O270" i="95" s="1"/>
  <c r="L280" i="95"/>
  <c r="M280" i="95" s="1"/>
  <c r="L282" i="95"/>
  <c r="M282" i="95" s="1"/>
  <c r="L271" i="95"/>
  <c r="M271" i="95" s="1"/>
  <c r="L278" i="95"/>
  <c r="M278" i="95" s="1"/>
  <c r="L272" i="95"/>
  <c r="M272" i="95" s="1"/>
  <c r="L266" i="95"/>
  <c r="M266" i="95" s="1"/>
  <c r="L267" i="95"/>
  <c r="M267" i="95" s="1"/>
  <c r="L265" i="95"/>
  <c r="M265" i="95" s="1"/>
  <c r="L262" i="95"/>
  <c r="M269" i="95"/>
  <c r="O269" i="95" s="1"/>
  <c r="U3" i="17"/>
  <c r="I796" i="24"/>
  <c r="J796" i="24" s="1"/>
  <c r="J795" i="24"/>
  <c r="O260" i="95"/>
  <c r="N260" i="95"/>
  <c r="L277" i="95"/>
  <c r="M277" i="95" s="1"/>
  <c r="N263" i="95"/>
  <c r="O263" i="95"/>
  <c r="L275" i="95"/>
  <c r="M275" i="95" s="1"/>
  <c r="O264" i="95"/>
  <c r="N264" i="95"/>
  <c r="L283" i="95"/>
  <c r="M283" i="95" s="1"/>
  <c r="L274" i="95"/>
  <c r="M274" i="95" s="1"/>
  <c r="L281" i="95"/>
  <c r="M281" i="95" s="1"/>
  <c r="M261" i="95"/>
  <c r="L259" i="95"/>
  <c r="M259" i="95" s="1"/>
  <c r="N268" i="95"/>
  <c r="H103" i="17" l="1"/>
  <c r="H16" i="17"/>
  <c r="H64" i="17"/>
  <c r="H36" i="17"/>
  <c r="H100" i="17"/>
  <c r="H31" i="17"/>
  <c r="H80" i="17"/>
  <c r="P75" i="95"/>
  <c r="Q75" i="95" s="1"/>
  <c r="S75" i="95" s="1"/>
  <c r="P67" i="95"/>
  <c r="Q67" i="95" s="1"/>
  <c r="S67" i="95" s="1"/>
  <c r="P52" i="95"/>
  <c r="Q52" i="95" s="1"/>
  <c r="S52" i="95" s="1"/>
  <c r="P35" i="95"/>
  <c r="Q35" i="95" s="1"/>
  <c r="S35" i="95" s="1"/>
  <c r="P221" i="95"/>
  <c r="Q221" i="95" s="1"/>
  <c r="S221" i="95" s="1"/>
  <c r="P178" i="95"/>
  <c r="Q178" i="95" s="1"/>
  <c r="S178" i="95" s="1"/>
  <c r="P245" i="95"/>
  <c r="Q245" i="95" s="1"/>
  <c r="S245" i="95" s="1"/>
  <c r="P30" i="95"/>
  <c r="Q30" i="95" s="1"/>
  <c r="S30" i="95" s="1"/>
  <c r="P213" i="95"/>
  <c r="Q213" i="95" s="1"/>
  <c r="S213" i="95" s="1"/>
  <c r="P139" i="95"/>
  <c r="Q139" i="95" s="1"/>
  <c r="S139" i="95" s="1"/>
  <c r="P107" i="95"/>
  <c r="Q107" i="95" s="1"/>
  <c r="S107" i="95" s="1"/>
  <c r="P222" i="95"/>
  <c r="Q222" i="95" s="1"/>
  <c r="S222" i="95" s="1"/>
  <c r="P97" i="95"/>
  <c r="Q97" i="95" s="1"/>
  <c r="S97" i="95" s="1"/>
  <c r="P214" i="95"/>
  <c r="Q214" i="95" s="1"/>
  <c r="S214" i="95" s="1"/>
  <c r="P80" i="95"/>
  <c r="Q80" i="95" s="1"/>
  <c r="S80" i="95" s="1"/>
  <c r="P78" i="95"/>
  <c r="Q78" i="95" s="1"/>
  <c r="S78" i="95" s="1"/>
  <c r="P38" i="95"/>
  <c r="Q38" i="95" s="1"/>
  <c r="S38" i="95" s="1"/>
  <c r="P12" i="95"/>
  <c r="Q12" i="95" s="1"/>
  <c r="S12" i="95" s="1"/>
  <c r="P132" i="95"/>
  <c r="Q132" i="95" s="1"/>
  <c r="S132" i="95" s="1"/>
  <c r="P161" i="95"/>
  <c r="Q161" i="95" s="1"/>
  <c r="S161" i="95" s="1"/>
  <c r="P117" i="95"/>
  <c r="Q117" i="95" s="1"/>
  <c r="S117" i="95" s="1"/>
  <c r="P167" i="95"/>
  <c r="Q167" i="95" s="1"/>
  <c r="S167" i="95" s="1"/>
  <c r="P46" i="95"/>
  <c r="Q46" i="95" s="1"/>
  <c r="S46" i="95" s="1"/>
  <c r="P181" i="95"/>
  <c r="Q181" i="95" s="1"/>
  <c r="S181" i="95" s="1"/>
  <c r="P149" i="95"/>
  <c r="Q149" i="95" s="1"/>
  <c r="S149" i="95" s="1"/>
  <c r="P225" i="95"/>
  <c r="Q225" i="95" s="1"/>
  <c r="S225" i="95" s="1"/>
  <c r="P202" i="95"/>
  <c r="Q202" i="95" s="1"/>
  <c r="S202" i="95" s="1"/>
  <c r="P136" i="95"/>
  <c r="Q136" i="95" s="1"/>
  <c r="S136" i="95" s="1"/>
  <c r="P212" i="95"/>
  <c r="Q212" i="95" s="1"/>
  <c r="S212" i="95" s="1"/>
  <c r="P176" i="95"/>
  <c r="Q176" i="95" s="1"/>
  <c r="S176" i="95" s="1"/>
  <c r="P138" i="95"/>
  <c r="Q138" i="95" s="1"/>
  <c r="S138" i="95" s="1"/>
  <c r="P106" i="95"/>
  <c r="Q106" i="95" s="1"/>
  <c r="S106" i="95" s="1"/>
  <c r="P211" i="95"/>
  <c r="Q211" i="95" s="1"/>
  <c r="S211" i="95" s="1"/>
  <c r="P189" i="95"/>
  <c r="Q189" i="95" s="1"/>
  <c r="S189" i="95" s="1"/>
  <c r="P133" i="95"/>
  <c r="Q133" i="95" s="1"/>
  <c r="S133" i="95" s="1"/>
  <c r="P173" i="95"/>
  <c r="Q173" i="95" s="1"/>
  <c r="S173" i="95" s="1"/>
  <c r="P150" i="95"/>
  <c r="Q150" i="95" s="1"/>
  <c r="S150" i="95" s="1"/>
  <c r="P118" i="95"/>
  <c r="Q118" i="95" s="1"/>
  <c r="S118" i="95" s="1"/>
  <c r="P146" i="95"/>
  <c r="Q146" i="95" s="1"/>
  <c r="S146" i="95" s="1"/>
  <c r="P218" i="95"/>
  <c r="Q218" i="95" s="1"/>
  <c r="S218" i="95" s="1"/>
  <c r="P230" i="95"/>
  <c r="Q230" i="95" s="1"/>
  <c r="S230" i="95" s="1"/>
  <c r="P227" i="95"/>
  <c r="Q227" i="95" s="1"/>
  <c r="S227" i="95" s="1"/>
  <c r="P186" i="95"/>
  <c r="Q186" i="95" s="1"/>
  <c r="S186" i="95" s="1"/>
  <c r="P15" i="95"/>
  <c r="Q15" i="95" s="1"/>
  <c r="S15" i="95" s="1"/>
  <c r="P43" i="95"/>
  <c r="Q43" i="95" s="1"/>
  <c r="S43" i="95" s="1"/>
  <c r="P27" i="95"/>
  <c r="Q27" i="95" s="1"/>
  <c r="S27" i="95" s="1"/>
  <c r="P223" i="95"/>
  <c r="Q223" i="95" s="1"/>
  <c r="S223" i="95" s="1"/>
  <c r="P127" i="95"/>
  <c r="Q127" i="95" s="1"/>
  <c r="S127" i="95" s="1"/>
  <c r="P200" i="95"/>
  <c r="Q200" i="95" s="1"/>
  <c r="S200" i="95" s="1"/>
  <c r="P164" i="95"/>
  <c r="Q164" i="95" s="1"/>
  <c r="S164" i="95" s="1"/>
  <c r="P233" i="95"/>
  <c r="Q233" i="95" s="1"/>
  <c r="S233" i="95" s="1"/>
  <c r="P244" i="95"/>
  <c r="Q244" i="95" s="1"/>
  <c r="S244" i="95" s="1"/>
  <c r="P180" i="95"/>
  <c r="Q180" i="95" s="1"/>
  <c r="S180" i="95" s="1"/>
  <c r="P231" i="95"/>
  <c r="Q231" i="95" s="1"/>
  <c r="S231" i="95" s="1"/>
  <c r="P137" i="95"/>
  <c r="Q137" i="95" s="1"/>
  <c r="S137" i="95" s="1"/>
  <c r="P210" i="95"/>
  <c r="Q210" i="95" s="1"/>
  <c r="S210" i="95" s="1"/>
  <c r="P201" i="95"/>
  <c r="Q201" i="95" s="1"/>
  <c r="S201" i="95" s="1"/>
  <c r="P126" i="95"/>
  <c r="Q126" i="95" s="1"/>
  <c r="S126" i="95" s="1"/>
  <c r="P125" i="95"/>
  <c r="Q125" i="95" s="1"/>
  <c r="S125" i="95" s="1"/>
  <c r="P101" i="95"/>
  <c r="Q101" i="95" s="1"/>
  <c r="S101" i="95" s="1"/>
  <c r="P34" i="95"/>
  <c r="Q34" i="95" s="1"/>
  <c r="S34" i="95" s="1"/>
  <c r="P220" i="95"/>
  <c r="Q220" i="95" s="1"/>
  <c r="S220" i="95" s="1"/>
  <c r="P22" i="95"/>
  <c r="Q22" i="95" s="1"/>
  <c r="S22" i="95" s="1"/>
  <c r="P59" i="95"/>
  <c r="Q59" i="95" s="1"/>
  <c r="S59" i="95" s="1"/>
  <c r="P14" i="95"/>
  <c r="Q14" i="95" s="1"/>
  <c r="S14" i="95" s="1"/>
  <c r="P257" i="95"/>
  <c r="Q257" i="95" s="1"/>
  <c r="S257" i="95" s="1"/>
  <c r="P157" i="95"/>
  <c r="Q157" i="95" s="1"/>
  <c r="S157" i="95" s="1"/>
  <c r="P192" i="95"/>
  <c r="Q192" i="95" s="1"/>
  <c r="S192" i="95" s="1"/>
  <c r="P163" i="95"/>
  <c r="Q163" i="95" s="1"/>
  <c r="S163" i="95" s="1"/>
  <c r="P100" i="95"/>
  <c r="Q100" i="95" s="1"/>
  <c r="S100" i="95" s="1"/>
  <c r="P24" i="95"/>
  <c r="Q24" i="95" s="1"/>
  <c r="S24" i="95" s="1"/>
  <c r="P6" i="95"/>
  <c r="Q6" i="95" s="1"/>
  <c r="S6" i="95" s="1"/>
  <c r="P19" i="95"/>
  <c r="Q19" i="95" s="1"/>
  <c r="S19" i="95" s="1"/>
  <c r="P3" i="95"/>
  <c r="Q3" i="95" s="1"/>
  <c r="S3" i="95" s="1"/>
  <c r="P66" i="95"/>
  <c r="Q66" i="95" s="1"/>
  <c r="S66" i="95" s="1"/>
  <c r="P219" i="95"/>
  <c r="Q219" i="95" s="1"/>
  <c r="S219" i="95" s="1"/>
  <c r="P224" i="95"/>
  <c r="Q224" i="95" s="1"/>
  <c r="S224" i="95" s="1"/>
  <c r="P196" i="95"/>
  <c r="Q196" i="95" s="1"/>
  <c r="S196" i="95" s="1"/>
  <c r="P174" i="95"/>
  <c r="Q174" i="95" s="1"/>
  <c r="S174" i="95" s="1"/>
  <c r="P194" i="95"/>
  <c r="Q194" i="95" s="1"/>
  <c r="S194" i="95" s="1"/>
  <c r="P23" i="95"/>
  <c r="Q23" i="95" s="1"/>
  <c r="S23" i="95" s="1"/>
  <c r="P8" i="95"/>
  <c r="Q8" i="95" s="1"/>
  <c r="S8" i="95" s="1"/>
  <c r="P63" i="95"/>
  <c r="Q63" i="95" s="1"/>
  <c r="S63" i="95" s="1"/>
  <c r="P237" i="95"/>
  <c r="Q237" i="95" s="1"/>
  <c r="S237" i="95" s="1"/>
  <c r="P135" i="95"/>
  <c r="Q135" i="95" s="1"/>
  <c r="S135" i="95" s="1"/>
  <c r="P228" i="95"/>
  <c r="Q228" i="95" s="1"/>
  <c r="S228" i="95" s="1"/>
  <c r="P172" i="95"/>
  <c r="Q172" i="95" s="1"/>
  <c r="S172" i="95" s="1"/>
  <c r="P207" i="95"/>
  <c r="Q207" i="95" s="1"/>
  <c r="S207" i="95" s="1"/>
  <c r="P205" i="95"/>
  <c r="Q205" i="95" s="1"/>
  <c r="S205" i="95" s="1"/>
  <c r="P104" i="95"/>
  <c r="Q104" i="95" s="1"/>
  <c r="S104" i="95" s="1"/>
  <c r="P229" i="95"/>
  <c r="Q229" i="95" s="1"/>
  <c r="S229" i="95" s="1"/>
  <c r="P159" i="95"/>
  <c r="Q159" i="95" s="1"/>
  <c r="S159" i="95" s="1"/>
  <c r="P95" i="95"/>
  <c r="Q95" i="95" s="1"/>
  <c r="S95" i="95" s="1"/>
  <c r="P165" i="95"/>
  <c r="Q165" i="95" s="1"/>
  <c r="S165" i="95" s="1"/>
  <c r="P179" i="95"/>
  <c r="Q179" i="95" s="1"/>
  <c r="S179" i="95" s="1"/>
  <c r="P141" i="95"/>
  <c r="Q141" i="95" s="1"/>
  <c r="S141" i="95" s="1"/>
  <c r="P177" i="95"/>
  <c r="Q177" i="95" s="1"/>
  <c r="S177" i="95" s="1"/>
  <c r="P147" i="95"/>
  <c r="Q147" i="95" s="1"/>
  <c r="S147" i="95" s="1"/>
  <c r="P49" i="95"/>
  <c r="Q49" i="95" s="1"/>
  <c r="S49" i="95" s="1"/>
  <c r="P232" i="95"/>
  <c r="Q232" i="95" s="1"/>
  <c r="S232" i="95" s="1"/>
  <c r="P154" i="95"/>
  <c r="Q154" i="95" s="1"/>
  <c r="S154" i="95" s="1"/>
  <c r="P90" i="95"/>
  <c r="Q90" i="95" s="1"/>
  <c r="S90" i="95" s="1"/>
  <c r="P168" i="95"/>
  <c r="Q168" i="95" s="1"/>
  <c r="S168" i="95" s="1"/>
  <c r="P129" i="95"/>
  <c r="Q129" i="95" s="1"/>
  <c r="S129" i="95" s="1"/>
  <c r="P140" i="95"/>
  <c r="Q140" i="95" s="1"/>
  <c r="S140" i="95" s="1"/>
  <c r="P44" i="95"/>
  <c r="Q44" i="95" s="1"/>
  <c r="S44" i="95" s="1"/>
  <c r="P76" i="95"/>
  <c r="Q76" i="95" s="1"/>
  <c r="S76" i="95" s="1"/>
  <c r="P183" i="95"/>
  <c r="Q183" i="95" s="1"/>
  <c r="S183" i="95" s="1"/>
  <c r="P122" i="95"/>
  <c r="Q122" i="95" s="1"/>
  <c r="S122" i="95" s="1"/>
  <c r="P98" i="95"/>
  <c r="Q98" i="95" s="1"/>
  <c r="S98" i="95" s="1"/>
  <c r="P203" i="95"/>
  <c r="Q203" i="95" s="1"/>
  <c r="S203" i="95" s="1"/>
  <c r="P57" i="95"/>
  <c r="Q57" i="95" s="1"/>
  <c r="S57" i="95" s="1"/>
  <c r="P166" i="95"/>
  <c r="Q166" i="95" s="1"/>
  <c r="S166" i="95" s="1"/>
  <c r="P253" i="95"/>
  <c r="Q253" i="95" s="1"/>
  <c r="S253" i="95" s="1"/>
  <c r="P171" i="95"/>
  <c r="Q171" i="95" s="1"/>
  <c r="S171" i="95" s="1"/>
  <c r="P60" i="95"/>
  <c r="Q60" i="95" s="1"/>
  <c r="S60" i="95" s="1"/>
  <c r="P64" i="95"/>
  <c r="Q64" i="95" s="1"/>
  <c r="S64" i="95" s="1"/>
  <c r="P62" i="95"/>
  <c r="Q62" i="95" s="1"/>
  <c r="S62" i="95" s="1"/>
  <c r="P114" i="95"/>
  <c r="Q114" i="95" s="1"/>
  <c r="S114" i="95" s="1"/>
  <c r="P204" i="95"/>
  <c r="Q204" i="95" s="1"/>
  <c r="S204" i="95" s="1"/>
  <c r="P175" i="95"/>
  <c r="Q175" i="95" s="1"/>
  <c r="S175" i="95" s="1"/>
  <c r="P103" i="95"/>
  <c r="Q103" i="95" s="1"/>
  <c r="S103" i="95" s="1"/>
  <c r="P158" i="95"/>
  <c r="Q158" i="95" s="1"/>
  <c r="S158" i="95" s="1"/>
  <c r="P93" i="95"/>
  <c r="Q93" i="95" s="1"/>
  <c r="S93" i="95" s="1"/>
  <c r="P108" i="95"/>
  <c r="Q108" i="95" s="1"/>
  <c r="S108" i="95" s="1"/>
  <c r="P39" i="95"/>
  <c r="Q39" i="95" s="1"/>
  <c r="S39" i="95" s="1"/>
  <c r="P83" i="95"/>
  <c r="Q83" i="95" s="1"/>
  <c r="S83" i="95" s="1"/>
  <c r="P54" i="95"/>
  <c r="Q54" i="95" s="1"/>
  <c r="S54" i="95" s="1"/>
  <c r="P7" i="95"/>
  <c r="Q7" i="95" s="1"/>
  <c r="S7" i="95" s="1"/>
  <c r="P58" i="95"/>
  <c r="Q58" i="95" s="1"/>
  <c r="S58" i="95" s="1"/>
  <c r="P26" i="95"/>
  <c r="Q26" i="95" s="1"/>
  <c r="S26" i="95" s="1"/>
  <c r="P236" i="95"/>
  <c r="Q236" i="95" s="1"/>
  <c r="S236" i="95" s="1"/>
  <c r="Q242" i="95"/>
  <c r="S242" i="95" s="1"/>
  <c r="P197" i="95"/>
  <c r="Q197" i="95" s="1"/>
  <c r="S197" i="95" s="1"/>
  <c r="P105" i="95"/>
  <c r="Q105" i="95" s="1"/>
  <c r="S105" i="95" s="1"/>
  <c r="P144" i="95"/>
  <c r="Q144" i="95" s="1"/>
  <c r="S144" i="95" s="1"/>
  <c r="P94" i="95"/>
  <c r="Q94" i="95" s="1"/>
  <c r="S94" i="95" s="1"/>
  <c r="P239" i="95"/>
  <c r="Q239" i="95" s="1"/>
  <c r="S239" i="95" s="1"/>
  <c r="P115" i="95"/>
  <c r="Q115" i="95" s="1"/>
  <c r="S115" i="95" s="1"/>
  <c r="P86" i="95"/>
  <c r="Q86" i="95" s="1"/>
  <c r="S86" i="95" s="1"/>
  <c r="Q234" i="95"/>
  <c r="S234" i="95" s="1"/>
  <c r="P243" i="95"/>
  <c r="Q243" i="95" s="1"/>
  <c r="S243" i="95" s="1"/>
  <c r="P112" i="95"/>
  <c r="Q112" i="95" s="1"/>
  <c r="S112" i="95" s="1"/>
  <c r="P81" i="95"/>
  <c r="Q81" i="95" s="1"/>
  <c r="S81" i="95" s="1"/>
  <c r="P209" i="95"/>
  <c r="Q209" i="95" s="1"/>
  <c r="S209" i="95" s="1"/>
  <c r="P208" i="95"/>
  <c r="Q208" i="95" s="1"/>
  <c r="S208" i="95" s="1"/>
  <c r="P241" i="95"/>
  <c r="Q241" i="95" s="1"/>
  <c r="S241" i="95" s="1"/>
  <c r="P84" i="95"/>
  <c r="Q84" i="95" s="1"/>
  <c r="S84" i="95" s="1"/>
  <c r="P250" i="95"/>
  <c r="Q250" i="95" s="1"/>
  <c r="S250" i="95" s="1"/>
  <c r="P73" i="95"/>
  <c r="Q73" i="95" s="1"/>
  <c r="S73" i="95" s="1"/>
  <c r="P162" i="95"/>
  <c r="Q162" i="95" s="1"/>
  <c r="S162" i="95" s="1"/>
  <c r="P11" i="95"/>
  <c r="Q11" i="95" s="1"/>
  <c r="S11" i="95" s="1"/>
  <c r="Q53" i="95"/>
  <c r="S53" i="95" s="1"/>
  <c r="P45" i="95"/>
  <c r="Q45" i="95" s="1"/>
  <c r="S45" i="95" s="1"/>
  <c r="P37" i="95"/>
  <c r="Q37" i="95" s="1"/>
  <c r="S37" i="95" s="1"/>
  <c r="P85" i="95"/>
  <c r="Q85" i="95" s="1"/>
  <c r="S85" i="95" s="1"/>
  <c r="P199" i="95"/>
  <c r="Q199" i="95" s="1"/>
  <c r="S199" i="95" s="1"/>
  <c r="P82" i="95"/>
  <c r="Q82" i="95" s="1"/>
  <c r="S82" i="95" s="1"/>
  <c r="P198" i="95"/>
  <c r="Q198" i="95" s="1"/>
  <c r="S198" i="95" s="1"/>
  <c r="P256" i="95"/>
  <c r="Q256" i="95" s="1"/>
  <c r="S256" i="95" s="1"/>
  <c r="P145" i="95"/>
  <c r="Q145" i="95" s="1"/>
  <c r="S145" i="95" s="1"/>
  <c r="P255" i="95"/>
  <c r="Q255" i="95" s="1"/>
  <c r="S255" i="95" s="1"/>
  <c r="P152" i="95"/>
  <c r="Q152" i="95" s="1"/>
  <c r="S152" i="95" s="1"/>
  <c r="P88" i="95"/>
  <c r="Q88" i="95" s="1"/>
  <c r="S88" i="95" s="1"/>
  <c r="P188" i="95"/>
  <c r="Q188" i="95" s="1"/>
  <c r="S188" i="95" s="1"/>
  <c r="P143" i="95"/>
  <c r="Q143" i="95" s="1"/>
  <c r="S143" i="95" s="1"/>
  <c r="P235" i="95"/>
  <c r="Q235" i="95" s="1"/>
  <c r="S235" i="95" s="1"/>
  <c r="P187" i="95"/>
  <c r="Q187" i="95" s="1"/>
  <c r="S187" i="95" s="1"/>
  <c r="P134" i="95"/>
  <c r="Q134" i="95" s="1"/>
  <c r="S134" i="95" s="1"/>
  <c r="P247" i="95"/>
  <c r="Q247" i="95" s="1"/>
  <c r="S247" i="95" s="1"/>
  <c r="P240" i="95"/>
  <c r="Q240" i="95" s="1"/>
  <c r="S240" i="95" s="1"/>
  <c r="P116" i="95"/>
  <c r="Q116" i="95" s="1"/>
  <c r="S116" i="95" s="1"/>
  <c r="P184" i="95"/>
  <c r="Q184" i="95" s="1"/>
  <c r="S184" i="95" s="1"/>
  <c r="P123" i="95"/>
  <c r="Q123" i="95" s="1"/>
  <c r="S123" i="95" s="1"/>
  <c r="P55" i="95"/>
  <c r="Q55" i="95" s="1"/>
  <c r="S55" i="95" s="1"/>
  <c r="P77" i="95"/>
  <c r="Q77" i="95" s="1"/>
  <c r="S77" i="95" s="1"/>
  <c r="P13" i="95"/>
  <c r="Q13" i="95" s="1"/>
  <c r="S13" i="95" s="1"/>
  <c r="P4" i="95"/>
  <c r="Q4" i="95" s="1"/>
  <c r="S4" i="95" s="1"/>
  <c r="P258" i="95"/>
  <c r="Q258" i="95" s="1"/>
  <c r="S258" i="95" s="1"/>
  <c r="P238" i="95"/>
  <c r="Q238" i="95" s="1"/>
  <c r="S238" i="95" s="1"/>
  <c r="P169" i="95"/>
  <c r="Q169" i="95" s="1"/>
  <c r="S169" i="95" s="1"/>
  <c r="P190" i="95"/>
  <c r="Q190" i="95" s="1"/>
  <c r="S190" i="95" s="1"/>
  <c r="P121" i="95"/>
  <c r="Q121" i="95" s="1"/>
  <c r="S121" i="95" s="1"/>
  <c r="P128" i="95"/>
  <c r="Q128" i="95" s="1"/>
  <c r="S128" i="95" s="1"/>
  <c r="P254" i="95"/>
  <c r="Q254" i="95" s="1"/>
  <c r="S254" i="95" s="1"/>
  <c r="P119" i="95"/>
  <c r="Q119" i="95" s="1"/>
  <c r="S119" i="95" s="1"/>
  <c r="P110" i="95"/>
  <c r="Q110" i="95" s="1"/>
  <c r="S110" i="95" s="1"/>
  <c r="P193" i="95"/>
  <c r="Q193" i="95" s="1"/>
  <c r="S193" i="95" s="1"/>
  <c r="P156" i="95"/>
  <c r="Q156" i="95" s="1"/>
  <c r="S156" i="95" s="1"/>
  <c r="P92" i="95"/>
  <c r="Q92" i="95" s="1"/>
  <c r="S92" i="95" s="1"/>
  <c r="Q29" i="95"/>
  <c r="S29" i="95" s="1"/>
  <c r="P99" i="95"/>
  <c r="Q99" i="95" s="1"/>
  <c r="S99" i="95" s="1"/>
  <c r="P61" i="95"/>
  <c r="Q61" i="95" s="1"/>
  <c r="S61" i="95" s="1"/>
  <c r="P40" i="95"/>
  <c r="Q40" i="95" s="1"/>
  <c r="S40" i="95" s="1"/>
  <c r="P17" i="95"/>
  <c r="Q17" i="95" s="1"/>
  <c r="S17" i="95" s="1"/>
  <c r="P16" i="95"/>
  <c r="Q16" i="95" s="1"/>
  <c r="S16" i="95" s="1"/>
  <c r="P87" i="95"/>
  <c r="Q87" i="95" s="1"/>
  <c r="S87" i="95" s="1"/>
  <c r="P32" i="95"/>
  <c r="Q32" i="95" s="1"/>
  <c r="S32" i="95" s="1"/>
  <c r="P47" i="95"/>
  <c r="Q47" i="95" s="1"/>
  <c r="S47" i="95" s="1"/>
  <c r="P25" i="95"/>
  <c r="Q25" i="95" s="1"/>
  <c r="S25" i="95" s="1"/>
  <c r="P252" i="95"/>
  <c r="Q252" i="95" s="1"/>
  <c r="S252" i="95" s="1"/>
  <c r="P2" i="95"/>
  <c r="Q2" i="95" s="1"/>
  <c r="S2" i="95" s="1"/>
  <c r="P74" i="95"/>
  <c r="Q74" i="95" s="1"/>
  <c r="S74" i="95" s="1"/>
  <c r="P33" i="95"/>
  <c r="Q33" i="95" s="1"/>
  <c r="S33" i="95" s="1"/>
  <c r="P41" i="95"/>
  <c r="Q41" i="95" s="1"/>
  <c r="S41" i="95" s="1"/>
  <c r="P18" i="95"/>
  <c r="Q18" i="95" s="1"/>
  <c r="S18" i="95" s="1"/>
  <c r="P10" i="95"/>
  <c r="Q10" i="95" s="1"/>
  <c r="S10" i="95" s="1"/>
  <c r="P264" i="95"/>
  <c r="Q264" i="95" s="1"/>
  <c r="S264" i="95" s="1"/>
  <c r="P69" i="95"/>
  <c r="Q69" i="95" s="1"/>
  <c r="S69" i="95" s="1"/>
  <c r="P71" i="95"/>
  <c r="Q71" i="95" s="1"/>
  <c r="S71" i="95" s="1"/>
  <c r="P268" i="95"/>
  <c r="Q268" i="95" s="1"/>
  <c r="S268" i="95" s="1"/>
  <c r="P182" i="95"/>
  <c r="Q182" i="95" s="1"/>
  <c r="S182" i="95" s="1"/>
  <c r="P113" i="95"/>
  <c r="Q113" i="95" s="1"/>
  <c r="S113" i="95" s="1"/>
  <c r="P120" i="95"/>
  <c r="Q120" i="95" s="1"/>
  <c r="S120" i="95" s="1"/>
  <c r="P249" i="95"/>
  <c r="Q249" i="95" s="1"/>
  <c r="S249" i="95" s="1"/>
  <c r="P216" i="95"/>
  <c r="Q216" i="95" s="1"/>
  <c r="S216" i="95" s="1"/>
  <c r="P111" i="95"/>
  <c r="Q111" i="95" s="1"/>
  <c r="S111" i="95" s="1"/>
  <c r="P215" i="95"/>
  <c r="Q215" i="95" s="1"/>
  <c r="S215" i="95" s="1"/>
  <c r="P102" i="95"/>
  <c r="Q102" i="95" s="1"/>
  <c r="S102" i="95" s="1"/>
  <c r="P148" i="95"/>
  <c r="Q148" i="95" s="1"/>
  <c r="S148" i="95" s="1"/>
  <c r="P206" i="95"/>
  <c r="Q206" i="95" s="1"/>
  <c r="S206" i="95" s="1"/>
  <c r="P155" i="95"/>
  <c r="Q155" i="95" s="1"/>
  <c r="S155" i="95" s="1"/>
  <c r="P91" i="95"/>
  <c r="Q91" i="95" s="1"/>
  <c r="S91" i="95" s="1"/>
  <c r="P56" i="95"/>
  <c r="Q56" i="95" s="1"/>
  <c r="S56" i="95" s="1"/>
  <c r="P9" i="95"/>
  <c r="Q9" i="95" s="1"/>
  <c r="S9" i="95" s="1"/>
  <c r="P65" i="95"/>
  <c r="Q65" i="95" s="1"/>
  <c r="S65" i="95" s="1"/>
  <c r="P68" i="95"/>
  <c r="Q68" i="95" s="1"/>
  <c r="S68" i="95" s="1"/>
  <c r="P48" i="95"/>
  <c r="Q48" i="95" s="1"/>
  <c r="S48" i="95" s="1"/>
  <c r="P31" i="95"/>
  <c r="Q31" i="95" s="1"/>
  <c r="S31" i="95" s="1"/>
  <c r="P251" i="95"/>
  <c r="Q251" i="95" s="1"/>
  <c r="S251" i="95" s="1"/>
  <c r="P130" i="95"/>
  <c r="Q130" i="95" s="1"/>
  <c r="S130" i="95" s="1"/>
  <c r="P153" i="95"/>
  <c r="Q153" i="95" s="1"/>
  <c r="S153" i="95" s="1"/>
  <c r="P89" i="95"/>
  <c r="Q89" i="95" s="1"/>
  <c r="S89" i="95" s="1"/>
  <c r="P217" i="95"/>
  <c r="Q217" i="95" s="1"/>
  <c r="S217" i="95" s="1"/>
  <c r="P160" i="95"/>
  <c r="Q160" i="95" s="1"/>
  <c r="S160" i="95" s="1"/>
  <c r="P96" i="95"/>
  <c r="Q96" i="95" s="1"/>
  <c r="S96" i="95" s="1"/>
  <c r="P195" i="95"/>
  <c r="Q195" i="95" s="1"/>
  <c r="S195" i="95" s="1"/>
  <c r="P151" i="95"/>
  <c r="Q151" i="95" s="1"/>
  <c r="S151" i="95" s="1"/>
  <c r="P248" i="95"/>
  <c r="Q248" i="95" s="1"/>
  <c r="S248" i="95" s="1"/>
  <c r="P142" i="95"/>
  <c r="Q142" i="95" s="1"/>
  <c r="S142" i="95" s="1"/>
  <c r="P109" i="95"/>
  <c r="Q109" i="95" s="1"/>
  <c r="S109" i="95" s="1"/>
  <c r="P246" i="95"/>
  <c r="Q246" i="95" s="1"/>
  <c r="S246" i="95" s="1"/>
  <c r="P185" i="95"/>
  <c r="Q185" i="95" s="1"/>
  <c r="S185" i="95" s="1"/>
  <c r="P124" i="95"/>
  <c r="Q124" i="95" s="1"/>
  <c r="S124" i="95" s="1"/>
  <c r="P191" i="95"/>
  <c r="Q191" i="95" s="1"/>
  <c r="S191" i="95" s="1"/>
  <c r="P170" i="95"/>
  <c r="Q170" i="95" s="1"/>
  <c r="S170" i="95" s="1"/>
  <c r="P131" i="95"/>
  <c r="Q131" i="95" s="1"/>
  <c r="S131" i="95" s="1"/>
  <c r="P70" i="95"/>
  <c r="Q70" i="95" s="1"/>
  <c r="S70" i="95" s="1"/>
  <c r="P50" i="95"/>
  <c r="Q50" i="95" s="1"/>
  <c r="S50" i="95" s="1"/>
  <c r="P79" i="95"/>
  <c r="Q79" i="95" s="1"/>
  <c r="S79" i="95" s="1"/>
  <c r="P28" i="95"/>
  <c r="Q28" i="95" s="1"/>
  <c r="S28" i="95" s="1"/>
  <c r="P21" i="95"/>
  <c r="Q21" i="95" s="1"/>
  <c r="S21" i="95" s="1"/>
  <c r="P42" i="95"/>
  <c r="Q42" i="95" s="1"/>
  <c r="S42" i="95" s="1"/>
  <c r="P20" i="95"/>
  <c r="Q20" i="95" s="1"/>
  <c r="S20" i="95" s="1"/>
  <c r="P5" i="95"/>
  <c r="Q5" i="95" s="1"/>
  <c r="S5" i="95" s="1"/>
  <c r="P72" i="95"/>
  <c r="Q72" i="95" s="1"/>
  <c r="S72" i="95" s="1"/>
  <c r="P36" i="95"/>
  <c r="Q36" i="95" s="1"/>
  <c r="S36" i="95" s="1"/>
  <c r="P51" i="95"/>
  <c r="Q51" i="95" s="1"/>
  <c r="S51" i="95" s="1"/>
  <c r="N270" i="95"/>
  <c r="P263" i="95"/>
  <c r="Q263" i="95" s="1"/>
  <c r="S263" i="95" s="1"/>
  <c r="U4" i="17"/>
  <c r="N269" i="95"/>
  <c r="M262" i="95"/>
  <c r="N262" i="95" s="1"/>
  <c r="L276" i="95"/>
  <c r="M276" i="95" s="1"/>
  <c r="P260" i="95"/>
  <c r="Q260" i="95" s="1"/>
  <c r="S260" i="95" s="1"/>
  <c r="O281" i="95"/>
  <c r="N281" i="95"/>
  <c r="O278" i="95"/>
  <c r="N278" i="95"/>
  <c r="O280" i="95"/>
  <c r="N280" i="95"/>
  <c r="O279" i="95"/>
  <c r="N279" i="95"/>
  <c r="O274" i="95"/>
  <c r="N274" i="95"/>
  <c r="N284" i="95"/>
  <c r="O284" i="95"/>
  <c r="O266" i="95"/>
  <c r="N266" i="95"/>
  <c r="O275" i="95"/>
  <c r="N275" i="95"/>
  <c r="O271" i="95"/>
  <c r="N271" i="95"/>
  <c r="O272" i="95"/>
  <c r="N272" i="95"/>
  <c r="N273" i="95"/>
  <c r="O273" i="95"/>
  <c r="O265" i="95"/>
  <c r="N265" i="95"/>
  <c r="O282" i="95"/>
  <c r="N282" i="95"/>
  <c r="O277" i="95"/>
  <c r="N277" i="95"/>
  <c r="O259" i="95"/>
  <c r="N259" i="95"/>
  <c r="O283" i="95"/>
  <c r="N283" i="95"/>
  <c r="O267" i="95"/>
  <c r="N267" i="95"/>
  <c r="O261" i="95"/>
  <c r="N261" i="95"/>
  <c r="H82" i="17" l="1"/>
  <c r="H104" i="17"/>
  <c r="H105" i="17"/>
  <c r="H106" i="17"/>
  <c r="H15" i="17"/>
  <c r="H81" i="17"/>
  <c r="H38" i="17"/>
  <c r="H102" i="17"/>
  <c r="H71" i="17"/>
  <c r="H58" i="17"/>
  <c r="H8" i="17"/>
  <c r="H10" i="17"/>
  <c r="H57" i="17"/>
  <c r="H9" i="17"/>
  <c r="H11" i="17"/>
  <c r="U5" i="17"/>
  <c r="H107" i="17" s="1"/>
  <c r="H73" i="17"/>
  <c r="H79" i="17"/>
  <c r="H50" i="17"/>
  <c r="H49" i="17"/>
  <c r="H40" i="17"/>
  <c r="H84" i="17"/>
  <c r="H83" i="17"/>
  <c r="H27" i="17"/>
  <c r="H25" i="17"/>
  <c r="H28" i="17"/>
  <c r="H26" i="17"/>
  <c r="H24" i="17"/>
  <c r="H23" i="17"/>
  <c r="H32" i="17"/>
  <c r="H14" i="17"/>
  <c r="H89" i="17"/>
  <c r="H13" i="17"/>
  <c r="H45" i="17"/>
  <c r="H88" i="17"/>
  <c r="H37" i="17"/>
  <c r="H62" i="17"/>
  <c r="H86" i="17"/>
  <c r="H85" i="17"/>
  <c r="H61" i="17"/>
  <c r="H87" i="17"/>
  <c r="H44" i="17"/>
  <c r="H63" i="17"/>
  <c r="H59" i="17"/>
  <c r="H30" i="17"/>
  <c r="H12" i="17"/>
  <c r="H42" i="17"/>
  <c r="H5" i="17"/>
  <c r="H54" i="17"/>
  <c r="O262" i="95"/>
  <c r="P262" i="95" s="1"/>
  <c r="Q262" i="95" s="1"/>
  <c r="S262" i="95" s="1"/>
  <c r="P259" i="95"/>
  <c r="Q259" i="95" s="1"/>
  <c r="S259" i="95" s="1"/>
  <c r="P270" i="95"/>
  <c r="Q270" i="95" s="1"/>
  <c r="S270" i="95" s="1"/>
  <c r="P269" i="95"/>
  <c r="Q269" i="95" s="1"/>
  <c r="S269" i="95" s="1"/>
  <c r="P261" i="95"/>
  <c r="Q261" i="95" s="1"/>
  <c r="S261" i="95" s="1"/>
  <c r="P266" i="95"/>
  <c r="Q266" i="95" s="1"/>
  <c r="S266" i="95" s="1"/>
  <c r="P282" i="95"/>
  <c r="Q282" i="95" s="1"/>
  <c r="S282" i="95" s="1"/>
  <c r="P271" i="95"/>
  <c r="Q271" i="95" s="1"/>
  <c r="S271" i="95" s="1"/>
  <c r="H18" i="17"/>
  <c r="H33" i="17"/>
  <c r="H22" i="17"/>
  <c r="P284" i="95"/>
  <c r="Q284" i="95" s="1"/>
  <c r="S284" i="95" s="1"/>
  <c r="P275" i="95"/>
  <c r="Q275" i="95" s="1"/>
  <c r="S275" i="95" s="1"/>
  <c r="P279" i="95"/>
  <c r="Q279" i="95" s="1"/>
  <c r="S279" i="95" s="1"/>
  <c r="P277" i="95"/>
  <c r="Q277" i="95" s="1"/>
  <c r="S277" i="95" s="1"/>
  <c r="P273" i="95"/>
  <c r="Q273" i="95" s="1"/>
  <c r="S273" i="95" s="1"/>
  <c r="P280" i="95"/>
  <c r="Q280" i="95" s="1"/>
  <c r="S280" i="95" s="1"/>
  <c r="P272" i="95"/>
  <c r="Q272" i="95" s="1"/>
  <c r="S272" i="95" s="1"/>
  <c r="P274" i="95"/>
  <c r="Q274" i="95" s="1"/>
  <c r="S274" i="95" s="1"/>
  <c r="O276" i="95"/>
  <c r="N276" i="95"/>
  <c r="P283" i="95"/>
  <c r="Q283" i="95" s="1"/>
  <c r="S283" i="95" s="1"/>
  <c r="P278" i="95"/>
  <c r="Q278" i="95" s="1"/>
  <c r="S278" i="95" s="1"/>
  <c r="P267" i="95"/>
  <c r="Q267" i="95" s="1"/>
  <c r="S267" i="95" s="1"/>
  <c r="P265" i="95"/>
  <c r="Q265" i="95" s="1"/>
  <c r="S265" i="95" s="1"/>
  <c r="P281" i="95"/>
  <c r="Q281" i="95" s="1"/>
  <c r="S281" i="95" s="1"/>
  <c r="H108" i="17" l="1"/>
  <c r="U6" i="17"/>
  <c r="U7" i="17" s="1"/>
  <c r="U8" i="17" s="1"/>
  <c r="U9" i="17" s="1"/>
  <c r="U10" i="17" s="1"/>
  <c r="U11" i="17" s="1"/>
  <c r="U12" i="17" s="1"/>
  <c r="U13" i="17" s="1"/>
  <c r="H35" i="17" s="1"/>
  <c r="H41" i="17"/>
  <c r="H29" i="17"/>
  <c r="P276" i="95"/>
  <c r="Q276" i="95" s="1"/>
  <c r="S276" i="95" s="1"/>
  <c r="H110" i="17" l="1"/>
  <c r="H109" i="17"/>
  <c r="H34" i="17"/>
  <c r="H78" i="17" l="1"/>
  <c r="H55" i="17"/>
  <c r="H93" i="17" l="1"/>
  <c r="H72" i="17"/>
  <c r="H39" i="17"/>
  <c r="H48" i="17"/>
  <c r="H68" i="17"/>
  <c r="H97" i="17"/>
  <c r="H17" i="17"/>
  <c r="H95" i="17"/>
  <c r="H47" i="17"/>
  <c r="H53" i="17"/>
  <c r="H69" i="17"/>
  <c r="H6" i="17"/>
  <c r="H92" i="17"/>
  <c r="H21" i="17"/>
  <c r="H101" i="17"/>
  <c r="H4" i="17"/>
  <c r="H94" i="17"/>
  <c r="H2" i="17"/>
  <c r="H75" i="17"/>
  <c r="H90" i="17"/>
  <c r="H56" i="17"/>
  <c r="H67" i="17"/>
  <c r="H99" i="17"/>
  <c r="H51" i="17"/>
  <c r="H76" i="17"/>
  <c r="H66" i="17"/>
  <c r="H91" i="17"/>
  <c r="H43" i="17"/>
  <c r="H52" i="17"/>
  <c r="H96" i="17"/>
  <c r="H98" i="17"/>
  <c r="H74" i="17"/>
  <c r="H65" i="17"/>
  <c r="H46" i="17"/>
  <c r="H3" i="17"/>
  <c r="H77" i="17"/>
  <c r="H60" i="17"/>
  <c r="H7" i="17"/>
  <c r="H70" i="17"/>
  <c r="H20" i="17"/>
  <c r="H19" i="17"/>
  <c r="L18" i="17"/>
</calcChain>
</file>

<file path=xl/comments1.xml><?xml version="1.0" encoding="utf-8"?>
<comments xmlns="http://schemas.openxmlformats.org/spreadsheetml/2006/main">
  <authors>
    <author>Silvanna Jeanette Cervantes Vicente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MF-023/17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MF-004/17
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MF-017/17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MF-018/17
</t>
        </r>
      </text>
    </comment>
  </commentList>
</comments>
</file>

<file path=xl/comments10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</commentList>
</comments>
</file>

<file path=xl/comments11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</commentList>
</comments>
</file>

<file path=xl/comments12.xml><?xml version="1.0" encoding="utf-8"?>
<comments xmlns="http://schemas.openxmlformats.org/spreadsheetml/2006/main">
  <authors>
    <author>Silvanna Jeanette Cervantes Vicente</author>
  </authors>
  <commentList>
    <comment ref="E4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</commentList>
</comments>
</file>

<file path=xl/comments13.xml><?xml version="1.0" encoding="utf-8"?>
<comments xmlns="http://schemas.openxmlformats.org/spreadsheetml/2006/main">
  <authors>
    <author>Silvanna Jeanette Cervantes Vicente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</commentList>
</comments>
</file>

<file path=xl/comments14.xml><?xml version="1.0" encoding="utf-8"?>
<comments xmlns="http://schemas.openxmlformats.org/spreadsheetml/2006/main">
  <authors>
    <author>Silvanna Jeanette Cervantes Vicente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</commentList>
</comments>
</file>

<file path=xl/comments15.xml><?xml version="1.0" encoding="utf-8"?>
<comments xmlns="http://schemas.openxmlformats.org/spreadsheetml/2006/main">
  <authors>
    <author>Silvanna Jeanette Cervantes Vicente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PF185161/2 como ref. para el pago de las 1050tm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</commentList>
</comments>
</file>

<file path=xl/comments16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</commentList>
</comments>
</file>

<file path=xl/comments17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</commentList>
</comments>
</file>

<file path=xl/comments18.xml><?xml version="1.0" encoding="utf-8"?>
<comments xmlns="http://schemas.openxmlformats.org/spreadsheetml/2006/main">
  <authors>
    <author>Silvanna Jeanette Cervantes Vicente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</commentList>
</comments>
</file>

<file path=xl/comments19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</commentList>
</comments>
</file>

<file path=xl/comments2.xml><?xml version="1.0" encoding="utf-8"?>
<comments xmlns="http://schemas.openxmlformats.org/spreadsheetml/2006/main">
  <authors>
    <author>Silvanna Jeanette Cervantes Vicente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MF-005/17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MF-018/17
</t>
        </r>
      </text>
    </comment>
  </commentList>
</comments>
</file>

<file path=xl/comments20.xml><?xml version="1.0" encoding="utf-8"?>
<comments xmlns="http://schemas.openxmlformats.org/spreadsheetml/2006/main">
  <authors>
    <author>Silvanna Jeanette Cervantes Vicente</author>
    <author>Patricia Elena Cabeza Valles</author>
    <author>Ext_Felix Alberto Vicuña Morán</author>
    <author>Alejandra Rojas Valderrama</author>
    <author>Mery Estela Saldaña Reyes</author>
  </authors>
  <commentList>
    <comment ref="E10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  <comment ref="E12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  <comment ref="E12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  <comment ref="E152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15% ADELANTADO, EL RESTO 7 DÍAS POSTERIOR A LA FECHA DE EMISIÓN DE BL</t>
        </r>
      </text>
    </comment>
    <comment ref="E15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15% ADELANTADO, EL RESTO 7 DÍAS POSTERIOR A LA FECHA DE EMISIÓN DE BL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B17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(BEIGE/CAFÉ)</t>
        </r>
      </text>
    </comment>
    <comment ref="B17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(BEIGE/CAFÉ)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91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19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20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20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D20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PF185161/2 como ref. para el pago de las 1050tm
</t>
        </r>
      </text>
    </comment>
    <comment ref="E20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219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22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anticipo
80% contra docs</t>
        </r>
      </text>
    </comment>
    <comment ref="E22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  <comment ref="E232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Leasing
</t>
        </r>
      </text>
    </comment>
    <comment ref="E23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Leasing
</t>
        </r>
      </text>
    </comment>
    <comment ref="E24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  <comment ref="E260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20% CONTRA PROFORMA
80% CONTRA DOCS</t>
        </r>
      </text>
    </comment>
    <comment ref="I770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incluye tasa</t>
        </r>
      </text>
    </comment>
    <comment ref="I771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incluye tasa
</t>
        </r>
      </text>
    </comment>
    <comment ref="I795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incluye tasa
</t>
        </r>
      </text>
    </comment>
    <comment ref="G85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1ra programación: 20-11
Se cambió a solicitud de Tesorería</t>
        </r>
      </text>
    </comment>
    <comment ref="D909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NC 7300104645</t>
        </r>
      </text>
    </comment>
    <comment ref="H910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SE CREARÁ UNA NC</t>
        </r>
      </text>
    </comment>
    <comment ref="D91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NC 7300104646</t>
        </r>
      </text>
    </comment>
    <comment ref="D922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NC 7300104645</t>
        </r>
      </text>
    </comment>
    <comment ref="M952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reenviado 2/03</t>
        </r>
      </text>
    </comment>
    <comment ref="I960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incluye tasa
</t>
        </r>
      </text>
    </comment>
    <comment ref="I969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incluye tasa</t>
        </r>
      </text>
    </comment>
    <comment ref="I980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incluye tasa
</t>
        </r>
      </text>
    </comment>
    <comment ref="J1014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355004.645239197 usd</t>
        </r>
      </text>
    </comment>
    <comment ref="B1042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Una parte llega en sacos Yaraliva
</t>
        </r>
      </text>
    </comment>
    <comment ref="B104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Una parte llega en sacos Yaraliva
</t>
        </r>
      </text>
    </comment>
    <comment ref="B104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Una parte llega en sacos Yaraliva
</t>
        </r>
      </text>
    </comment>
    <comment ref="B104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Una parte llega en sacos Yaraliva
</t>
        </r>
      </text>
    </comment>
    <comment ref="H108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130tm adicionales por confirmar
</t>
        </r>
      </text>
    </comment>
    <comment ref="H1160" authorId="2">
      <text>
        <r>
          <rPr>
            <b/>
            <sz val="9"/>
            <color indexed="81"/>
            <rFont val="Tahoma"/>
            <family val="2"/>
          </rPr>
          <t>Ext_Felix Alberto Vicuña Morán:</t>
        </r>
        <r>
          <rPr>
            <sz val="9"/>
            <color indexed="81"/>
            <rFont val="Tahoma"/>
            <family val="2"/>
          </rPr>
          <t xml:space="preserve">
10000 LITROS
</t>
        </r>
      </text>
    </comment>
    <comment ref="I1244" authorId="3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ANTES $207
</t>
        </r>
      </text>
    </comment>
    <comment ref="I1245" authorId="3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ANTES $207
</t>
        </r>
      </text>
    </comment>
    <comment ref="D1279" authorId="4">
      <text>
        <r>
          <rPr>
            <b/>
            <sz val="9"/>
            <color indexed="81"/>
            <rFont val="Tahoma"/>
            <family val="2"/>
          </rPr>
          <t>Mery Estela Saldaña Reyes:</t>
        </r>
        <r>
          <rPr>
            <sz val="9"/>
            <color indexed="81"/>
            <rFont val="Tahoma"/>
            <family val="2"/>
          </rPr>
          <t xml:space="preserve">
5 UNDS
</t>
        </r>
      </text>
    </comment>
    <comment ref="D1280" authorId="4">
      <text>
        <r>
          <rPr>
            <b/>
            <sz val="9"/>
            <color indexed="81"/>
            <rFont val="Tahoma"/>
            <family val="2"/>
          </rPr>
          <t>Mery Estela Saldaña Reyes:</t>
        </r>
        <r>
          <rPr>
            <sz val="9"/>
            <color indexed="81"/>
            <rFont val="Tahoma"/>
            <family val="2"/>
          </rPr>
          <t xml:space="preserve">
5 UNDS
</t>
        </r>
      </text>
    </comment>
    <comment ref="D1281" authorId="4">
      <text>
        <r>
          <rPr>
            <b/>
            <sz val="9"/>
            <color indexed="81"/>
            <rFont val="Tahoma"/>
            <family val="2"/>
          </rPr>
          <t>Mery Estela Saldaña Reyes:</t>
        </r>
        <r>
          <rPr>
            <sz val="9"/>
            <color indexed="81"/>
            <rFont val="Tahoma"/>
            <family val="2"/>
          </rPr>
          <t xml:space="preserve">
X 5 UNIDADES
</t>
        </r>
      </text>
    </comment>
    <comment ref="I1284" authorId="3">
      <text>
        <r>
          <rPr>
            <b/>
            <sz val="9"/>
            <color indexed="81"/>
            <rFont val="Tahoma"/>
            <family val="2"/>
          </rPr>
          <t>FILO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95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modificar monto con intereses
</t>
        </r>
      </text>
    </comment>
    <comment ref="D1297" authorId="4">
      <text>
        <r>
          <rPr>
            <b/>
            <sz val="9"/>
            <color indexed="81"/>
            <rFont val="Tahoma"/>
            <family val="2"/>
          </rPr>
          <t>Mery Estela Saldaña Reyes:</t>
        </r>
        <r>
          <rPr>
            <sz val="9"/>
            <color indexed="81"/>
            <rFont val="Tahoma"/>
            <family val="2"/>
          </rPr>
          <t xml:space="preserve">
X 5 UNIDADES
</t>
        </r>
      </text>
    </comment>
    <comment ref="D1298" authorId="4">
      <text>
        <r>
          <rPr>
            <b/>
            <sz val="9"/>
            <color indexed="81"/>
            <rFont val="Tahoma"/>
            <family val="2"/>
          </rPr>
          <t>Mery Estela Saldaña Reyes:</t>
        </r>
        <r>
          <rPr>
            <sz val="9"/>
            <color indexed="81"/>
            <rFont val="Tahoma"/>
            <family val="2"/>
          </rPr>
          <t xml:space="preserve">
5 UNDS
</t>
        </r>
      </text>
    </comment>
    <comment ref="G1315" authorId="1">
      <text>
        <r>
          <rPr>
            <b/>
            <sz val="9"/>
            <color indexed="81"/>
            <rFont val="Tahoma"/>
            <family val="2"/>
          </rPr>
          <t>Patricia Elena Cabeza Valles:</t>
        </r>
        <r>
          <rPr>
            <sz val="9"/>
            <color indexed="81"/>
            <rFont val="Tahoma"/>
            <family val="2"/>
          </rPr>
          <t xml:space="preserve">
ANTES 12/03</t>
        </r>
      </text>
    </comment>
  </commentList>
</comments>
</file>

<file path=xl/comments21.xml><?xml version="1.0" encoding="utf-8"?>
<comments xmlns="http://schemas.openxmlformats.org/spreadsheetml/2006/main">
  <authors>
    <author>Kristel Andrea Lora Diaz</author>
    <author>ADM</author>
  </authors>
  <commentList>
    <comment ref="G349" authorId="0">
      <text>
        <r>
          <rPr>
            <b/>
            <sz val="9"/>
            <color indexed="81"/>
            <rFont val="Tahoma"/>
            <family val="2"/>
          </rPr>
          <t xml:space="preserve">03/09 y 18/09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" authorId="1">
      <text>
        <r>
          <rPr>
            <b/>
            <sz val="9"/>
            <color indexed="81"/>
            <rFont val="Tahoma"/>
            <family val="2"/>
          </rPr>
          <t>ADM:</t>
        </r>
        <r>
          <rPr>
            <sz val="9"/>
            <color indexed="81"/>
            <rFont val="Tahoma"/>
            <family val="2"/>
          </rPr>
          <t xml:space="preserve">
1 KG</t>
        </r>
      </text>
    </comment>
  </commentList>
</comments>
</file>

<file path=xl/comments22.xml><?xml version="1.0" encoding="utf-8"?>
<comments xmlns="http://schemas.openxmlformats.org/spreadsheetml/2006/main">
  <authors>
    <author>Silvanna Jeanette Cervantes Vicente</author>
    <author>Alejandra Rojas Valderrama</author>
    <author>Mery Estela Saldaña Reyes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No se considera NC de $260/tm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No se considera NC de $260/tm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No se considera NC de $260/tm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No se considera NC de $260/tm</t>
        </r>
      </text>
    </comment>
    <comment ref="M297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1450 KG
</t>
        </r>
      </text>
    </comment>
    <comment ref="H298" authorId="1">
      <text>
        <r>
          <rPr>
            <b/>
            <sz val="9"/>
            <color indexed="81"/>
            <rFont val="Tahoma"/>
            <family val="2"/>
          </rPr>
          <t xml:space="preserve">Alejandra Rojas Valderrama:
</t>
        </r>
        <r>
          <rPr>
            <sz val="9"/>
            <color indexed="81"/>
            <rFont val="Tahoma"/>
            <family val="2"/>
          </rPr>
          <t xml:space="preserve">20 PALLETS
</t>
        </r>
      </text>
    </comment>
    <comment ref="H299" authorId="1">
      <text>
        <r>
          <rPr>
            <b/>
            <sz val="9"/>
            <color indexed="81"/>
            <rFont val="Tahoma"/>
            <family val="2"/>
          </rPr>
          <t xml:space="preserve">Alejandra Rojas Valderrama:
</t>
        </r>
        <r>
          <rPr>
            <sz val="9"/>
            <color indexed="81"/>
            <rFont val="Tahoma"/>
            <family val="2"/>
          </rPr>
          <t xml:space="preserve">20 PALLETS
</t>
        </r>
      </text>
    </comment>
    <comment ref="E301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O PISCO
</t>
        </r>
      </text>
    </comment>
    <comment ref="H306" authorId="2">
      <text>
        <r>
          <rPr>
            <b/>
            <sz val="9"/>
            <color rgb="FF000000"/>
            <rFont val="Tahoma"/>
            <family val="2"/>
          </rPr>
          <t>Mery Estela Saldaña Reyes:</t>
        </r>
        <r>
          <rPr>
            <sz val="9"/>
            <color rgb="FF000000"/>
            <rFont val="Tahoma"/>
            <family val="2"/>
          </rPr>
          <t xml:space="preserve">
410 BB (
</t>
        </r>
      </text>
    </comment>
    <comment ref="I306" authorId="1">
      <text>
        <r>
          <rPr>
            <b/>
            <sz val="9"/>
            <color rgb="FF000000"/>
            <rFont val="Tahoma"/>
            <family val="2"/>
          </rPr>
          <t>Alejandra Rojas Valderrama:</t>
        </r>
        <r>
          <rPr>
            <sz val="9"/>
            <color rgb="FF000000"/>
            <rFont val="Tahoma"/>
            <family val="2"/>
          </rPr>
          <t xml:space="preserve">
FILO
</t>
        </r>
      </text>
    </comment>
    <comment ref="H310" authorId="2">
      <text>
        <r>
          <rPr>
            <b/>
            <sz val="9"/>
            <color rgb="FF000000"/>
            <rFont val="Tahoma"/>
            <family val="2"/>
          </rPr>
          <t>Mery Estela Saldaña Reyes:</t>
        </r>
        <r>
          <rPr>
            <sz val="9"/>
            <color rgb="FF000000"/>
            <rFont val="Tahoma"/>
            <family val="2"/>
          </rPr>
          <t xml:space="preserve">
320 bb
</t>
        </r>
      </text>
    </comment>
    <comment ref="H311" authorId="2">
      <text>
        <r>
          <rPr>
            <b/>
            <sz val="9"/>
            <color rgb="FF000000"/>
            <rFont val="Tahoma"/>
            <family val="2"/>
          </rPr>
          <t>Mery Estela Saldaña Reyes:</t>
        </r>
        <r>
          <rPr>
            <sz val="9"/>
            <color rgb="FF000000"/>
            <rFont val="Tahoma"/>
            <family val="2"/>
          </rPr>
          <t xml:space="preserve">
80 bb ( 1.25 tm)
</t>
        </r>
      </text>
    </comment>
  </commentList>
</comments>
</file>

<file path=xl/comments3.xml><?xml version="1.0" encoding="utf-8"?>
<comments xmlns="http://schemas.openxmlformats.org/spreadsheetml/2006/main">
  <authors>
    <author>Ext_Felix Alberto Vicuña Morán</author>
    <author>Alejandra Rojas Valderrama</author>
    <author>Mery Estela Saldaña Reyes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Ext_Felix Alberto Vicuña Morán:</t>
        </r>
        <r>
          <rPr>
            <sz val="9"/>
            <color indexed="81"/>
            <rFont val="Tahoma"/>
            <family val="2"/>
          </rPr>
          <t xml:space="preserve">
valor referencial
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Ext_Felix Alberto Vicuña Morán:</t>
        </r>
        <r>
          <rPr>
            <sz val="9"/>
            <color indexed="81"/>
            <rFont val="Tahoma"/>
            <family val="2"/>
          </rPr>
          <t xml:space="preserve">
valor referencial
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320 BB (1.25 TM)
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1360 BB (1.25 TM)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PRECIO DE REFERENCIA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PRECIO DE REFERENCIA
</t>
        </r>
      </text>
    </comment>
    <comment ref="M50" authorId="2">
      <text>
        <r>
          <rPr>
            <b/>
            <sz val="9"/>
            <color indexed="81"/>
            <rFont val="Tahoma"/>
            <family val="2"/>
          </rPr>
          <t>Mery Estela Saldaña Reyes:
PRECIO DE REFERENCIA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Alejandra Rojas Valderrama:</t>
        </r>
        <r>
          <rPr>
            <sz val="9"/>
            <color indexed="81"/>
            <rFont val="Tahoma"/>
            <family val="2"/>
          </rPr>
          <t xml:space="preserve">
PRECIO DE REFERENCIA
</t>
        </r>
      </text>
    </comment>
  </commentList>
</comments>
</file>

<file path=xl/comments4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15% ADELANTADO, EL RESTO 7 DÍAS POSTERIOR A LA FECHA DE EMISIÓN DE BL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15% ADELANTADO, EL RESTO 7 DÍAS POSTERIOR A LA FECHA DE EMISIÓN DE BL</t>
        </r>
      </text>
    </comment>
  </commentList>
</comments>
</file>

<file path=xl/comments5.xml><?xml version="1.0" encoding="utf-8"?>
<comments xmlns="http://schemas.openxmlformats.org/spreadsheetml/2006/main">
  <authors>
    <author>Silvanna Jeanette Cervantes Vicente</author>
  </authors>
  <commentList>
    <comment ref="I6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Precio de TM Regular $2,223.15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Precio de TM Regular $2249.17</t>
        </r>
      </text>
    </comment>
    <comment ref="I68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Precio de TM Regular $2131.86</t>
        </r>
      </text>
    </comment>
  </commentList>
</comments>
</file>

<file path=xl/comments6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</commentList>
</comments>
</file>

<file path=xl/comments7.xml><?xml version="1.0" encoding="utf-8"?>
<comments xmlns="http://schemas.openxmlformats.org/spreadsheetml/2006/main">
  <authors>
    <author>Silvanna Jeanette Cervantes Vicente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</commentList>
</comments>
</file>

<file path=xl/comments8.xml><?xml version="1.0" encoding="utf-8"?>
<comments xmlns="http://schemas.openxmlformats.org/spreadsheetml/2006/main">
  <authors>
    <author>Silvanna Jeanette Cervantes Vicente</author>
  </authors>
  <commentList>
    <comment ref="E24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</commentList>
</comments>
</file>

<file path=xl/comments9.xml><?xml version="1.0" encoding="utf-8"?>
<comments xmlns="http://schemas.openxmlformats.org/spreadsheetml/2006/main">
  <authors>
    <author>Silvanna Jeanette Cervantes Vicente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Silvanna Jeanette Cervantes Vicente:</t>
        </r>
        <r>
          <rPr>
            <sz val="9"/>
            <color indexed="81"/>
            <rFont val="Tahoma"/>
            <family val="2"/>
          </rPr>
          <t xml:space="preserve">
Prepago:
- 30% del total a la confirmación de compra
- 70% contra documentos (más tardar 5 días antes de embarcar)
</t>
        </r>
      </text>
    </comment>
  </commentList>
</comments>
</file>

<file path=xl/sharedStrings.xml><?xml version="1.0" encoding="utf-8"?>
<sst xmlns="http://schemas.openxmlformats.org/spreadsheetml/2006/main" count="15478" uniqueCount="4074">
  <si>
    <t>M #</t>
  </si>
  <si>
    <t>PRODUCTO</t>
  </si>
  <si>
    <t>PROVEEDOR</t>
  </si>
  <si>
    <t>FECHA VCTO FACT.</t>
  </si>
  <si>
    <t>Sulfato de Potasio Granular</t>
  </si>
  <si>
    <t>CAD</t>
  </si>
  <si>
    <t>Sulfato de Potasio Soluble</t>
  </si>
  <si>
    <t>KEYTRADE</t>
  </si>
  <si>
    <t>Fosfato Diamónico Granular</t>
  </si>
  <si>
    <t>Nitrato de Potasio</t>
  </si>
  <si>
    <t>Sal doble de Nitrato de Calcio y Amonio</t>
  </si>
  <si>
    <t>Nitrato de Magnesio Hexahidratado</t>
  </si>
  <si>
    <t>Sulfato de Magnesio Heptahidratado</t>
  </si>
  <si>
    <t>Sulfato de Zinc Heptahidratado</t>
  </si>
  <si>
    <t>Ácido Fosfórico</t>
  </si>
  <si>
    <t>NITRON GROUP CORPORATION</t>
  </si>
  <si>
    <t>NEW CHINA CHEMICALS CO., LTD.</t>
  </si>
  <si>
    <t xml:space="preserve">HELIOPOTASSE SA  </t>
  </si>
  <si>
    <t>WITTRACO DÜNGEMITTEL GmbH</t>
  </si>
  <si>
    <t>CANTIDAD TM</t>
  </si>
  <si>
    <t>días BL</t>
  </si>
  <si>
    <t>#</t>
  </si>
  <si>
    <t>PLAZO VENTA</t>
  </si>
  <si>
    <t>USD x TM</t>
  </si>
  <si>
    <t>NOVIEMBRE</t>
  </si>
  <si>
    <t>DICIEMBRE</t>
  </si>
  <si>
    <t>OCTUBRE</t>
  </si>
  <si>
    <t>AMEROPA</t>
  </si>
  <si>
    <t>Nitrato de Calcio</t>
  </si>
  <si>
    <t>MES EMBARQUE PROGRAMADO</t>
  </si>
  <si>
    <t>MARZO</t>
  </si>
  <si>
    <t>ABRIL</t>
  </si>
  <si>
    <t>Urea Perlada</t>
  </si>
  <si>
    <t>Urea Granulada</t>
  </si>
  <si>
    <t>MAYO</t>
  </si>
  <si>
    <t>Fosfato Monoamónico Cristalizado</t>
  </si>
  <si>
    <t>JUNIO</t>
  </si>
  <si>
    <t>JULIO</t>
  </si>
  <si>
    <t>AGOSTO</t>
  </si>
  <si>
    <t>Sulfato de Amonio Estándar</t>
  </si>
  <si>
    <t>SETIEMBRE</t>
  </si>
  <si>
    <t>TOYOTA TSUSHO CORPORATION</t>
  </si>
  <si>
    <t>ICL EUROPE COOPERATIEF U.A.</t>
  </si>
  <si>
    <t>Polisulfato</t>
  </si>
  <si>
    <t>EVERRIS INTERNATIONAL B.V.</t>
  </si>
  <si>
    <t>días FACT.</t>
  </si>
  <si>
    <t>GAVILON</t>
  </si>
  <si>
    <t>MANUCHAR NV</t>
  </si>
  <si>
    <t>MF-012/17</t>
  </si>
  <si>
    <t>Urea Nitrato de Amonio Solución Acuosa</t>
  </si>
  <si>
    <t>URALCHEM</t>
  </si>
  <si>
    <t>MF-020/17</t>
  </si>
  <si>
    <t>MF-021/17</t>
  </si>
  <si>
    <t>MF-019/17</t>
  </si>
  <si>
    <t>ABRIL-MAYO</t>
  </si>
  <si>
    <t>MAYO-JUNIO</t>
  </si>
  <si>
    <t>Nitrato de Calcio Premium</t>
  </si>
  <si>
    <t>MF-027/17</t>
  </si>
  <si>
    <t>MF-028/17</t>
  </si>
  <si>
    <t>MF-031A/17</t>
  </si>
  <si>
    <t>MF-031B/17</t>
  </si>
  <si>
    <t>MF-029/17</t>
  </si>
  <si>
    <t>MF-047/17</t>
  </si>
  <si>
    <t>MF-024A/17</t>
  </si>
  <si>
    <t>MF-025A/17</t>
  </si>
  <si>
    <t>MF-053A/17</t>
  </si>
  <si>
    <t>MF-053B/17</t>
  </si>
  <si>
    <t>MF-036/17</t>
  </si>
  <si>
    <t>MF-037/17</t>
  </si>
  <si>
    <t>MF-044/17</t>
  </si>
  <si>
    <t>MF-035/17</t>
  </si>
  <si>
    <t>MF-058/17</t>
  </si>
  <si>
    <t>MF-033B/17</t>
  </si>
  <si>
    <t>MF-032A/17</t>
  </si>
  <si>
    <t>MF-032B/17</t>
  </si>
  <si>
    <t>TOTAL</t>
  </si>
  <si>
    <t xml:space="preserve">EMPRESA:     </t>
  </si>
  <si>
    <t>WITTRACO DÜNGEMITTEL GMBH</t>
  </si>
  <si>
    <t>DIRECCIÓN:  </t>
  </si>
  <si>
    <t>TELEFONO:  </t>
  </si>
  <si>
    <t xml:space="preserve"> +49 (0)40-30 96 56-120</t>
  </si>
  <si>
    <t>N° CUENTA: </t>
  </si>
  <si>
    <t xml:space="preserve">BANCO:         </t>
  </si>
  <si>
    <t xml:space="preserve">DIRECCIÓN:  </t>
  </si>
  <si>
    <r>
      <t>IBAN:</t>
    </r>
    <r>
      <rPr>
        <sz val="11"/>
        <color theme="1"/>
        <rFont val="Calibri"/>
        <family val="2"/>
        <scheme val="minor"/>
      </rPr>
      <t xml:space="preserve">             </t>
    </r>
  </si>
  <si>
    <t xml:space="preserve">BIC/SWIFT:    </t>
  </si>
  <si>
    <t>HASPDEHHXXX</t>
  </si>
  <si>
    <t>RABOISEN 6 D - 20095 HAMBURG, GERMANY</t>
  </si>
  <si>
    <t>HAMBURGER SPARKASSE AG, HAMBURG BRANCH</t>
  </si>
  <si>
    <t>DE16200505501620132835</t>
  </si>
  <si>
    <t>ADOLPHSPLATZ 3, 20457 Hamburg, Germany</t>
  </si>
  <si>
    <t>DATOS BANCARIOS:</t>
  </si>
  <si>
    <t>KEYTRADE AG</t>
  </si>
  <si>
    <t>SWIFT</t>
  </si>
  <si>
    <t>Zuercherstrasse 68, 8800 THALWIL, SWITZERLAND</t>
  </si>
  <si>
    <t>BBRUCHGTXXX</t>
  </si>
  <si>
    <t>CH3208387000001071321</t>
  </si>
  <si>
    <t>ING BELGIUM, BRUSSEL. GENEVA BRANCH</t>
  </si>
  <si>
    <t xml:space="preserve">BANCO BENEFICIARIO:         </t>
  </si>
  <si>
    <t>BANCO INTERMEDIARIO:</t>
  </si>
  <si>
    <t>DEUTSCHE BANK TRUST COMPANY AMERICAS, NEW YORK</t>
  </si>
  <si>
    <t>BKTRUS33</t>
  </si>
  <si>
    <t>UBS SWITZERLAND AG</t>
  </si>
  <si>
    <t>CH-1227 Carouge, Switzerland</t>
  </si>
  <si>
    <t>UBSWCHZH12A</t>
  </si>
  <si>
    <t>240-373300.60 X</t>
  </si>
  <si>
    <t>CH380024024037330060 X</t>
  </si>
  <si>
    <t>UBS AG, STAMFORD</t>
  </si>
  <si>
    <t>UBSWUS33</t>
  </si>
  <si>
    <t>6 RUE JEAN PETITOT, CH 1211, GENEVA 11, SWITZERLAND.</t>
  </si>
  <si>
    <t>ok</t>
  </si>
  <si>
    <t>FACTURA</t>
  </si>
  <si>
    <r>
      <t xml:space="preserve">GASTOS </t>
    </r>
    <r>
      <rPr>
        <b/>
        <u/>
        <sz val="26"/>
        <color rgb="FFFF0000"/>
        <rFont val="Calibri"/>
        <family val="2"/>
        <scheme val="minor"/>
      </rPr>
      <t>OUR</t>
    </r>
  </si>
  <si>
    <t>Commerzbank AG</t>
  </si>
  <si>
    <t>NL92 RABO 0145 422 933</t>
  </si>
  <si>
    <t>RABONL2U</t>
  </si>
  <si>
    <t>PO Box 2626, 3500 GP Utrecht, Netherlands</t>
  </si>
  <si>
    <t>0145 422 933</t>
  </si>
  <si>
    <t>Rabobank</t>
  </si>
  <si>
    <t xml:space="preserve">KONINGIN WILHELMINAPLEIN 3 O, 1062 KR AMSTERDAM, NETHERLANDS
</t>
  </si>
  <si>
    <t>CHASUS33</t>
  </si>
  <si>
    <t>ABA:</t>
  </si>
  <si>
    <t>COBACHZHXXX</t>
  </si>
  <si>
    <t>AMEROPA AG</t>
  </si>
  <si>
    <t>CH730883614029320000</t>
  </si>
  <si>
    <t>REBGASSE 108, CH-4102 BINNINGEN</t>
  </si>
  <si>
    <t>UTOQUAI, CH-8034 ZURICH - SUIZA</t>
  </si>
  <si>
    <t>MES EMBARQUE PROGRAM.</t>
  </si>
  <si>
    <t>KTI20170462</t>
  </si>
  <si>
    <t>GT-70162</t>
  </si>
  <si>
    <t xml:space="preserve">GT-70161  </t>
  </si>
  <si>
    <t xml:space="preserve">GT-70160  </t>
  </si>
  <si>
    <t>(VS)MF-014B/17</t>
  </si>
  <si>
    <t>(VS)MF-019/17</t>
  </si>
  <si>
    <t>(VS)MF-022/17</t>
  </si>
  <si>
    <t>(VS)MF-023/17</t>
  </si>
  <si>
    <t>MF-007/17</t>
  </si>
  <si>
    <t>MF-008/17</t>
  </si>
  <si>
    <t>MF-009/17</t>
  </si>
  <si>
    <t>MF-010/17</t>
  </si>
  <si>
    <t>MF-011/17</t>
  </si>
  <si>
    <t>MF-013/17</t>
  </si>
  <si>
    <t>MF-014/17</t>
  </si>
  <si>
    <t>MF-015/17</t>
  </si>
  <si>
    <t>MF-018A/17</t>
  </si>
  <si>
    <t>MF-018B/17</t>
  </si>
  <si>
    <t>MF-023A/17</t>
  </si>
  <si>
    <t>MF-030A/17</t>
  </si>
  <si>
    <t>MF-030B/17</t>
  </si>
  <si>
    <t>KTI20170570</t>
  </si>
  <si>
    <t>KTI20170569</t>
  </si>
  <si>
    <t>20170714</t>
  </si>
  <si>
    <t>KTI20170871</t>
  </si>
  <si>
    <t>300000960</t>
  </si>
  <si>
    <t>493/17 ZMU</t>
  </si>
  <si>
    <t>494/17 ZMU</t>
  </si>
  <si>
    <t>507/17 ZMU</t>
  </si>
  <si>
    <t>506/17 ZMU</t>
  </si>
  <si>
    <t>PREPAGO</t>
  </si>
  <si>
    <t>EMBARQUE PROGRAM.</t>
  </si>
  <si>
    <t>RTMF-031B/17</t>
  </si>
  <si>
    <t>RTMF-018/17</t>
  </si>
  <si>
    <t>RTMF-026/17</t>
  </si>
  <si>
    <t>RTMF-027/17</t>
  </si>
  <si>
    <t>RTMF-028/17</t>
  </si>
  <si>
    <t xml:space="preserve">BANCO INTERMEDIARIO:         </t>
  </si>
  <si>
    <t>FOK</t>
  </si>
  <si>
    <t>GARANTIBANK INTERNATIONAL N.V. (GBI) AMSTERDAM</t>
  </si>
  <si>
    <t>Keizersgracht 569-575, 1017 DR Amsterdam, Países Bajos</t>
  </si>
  <si>
    <t>IBAN:</t>
  </si>
  <si>
    <t>NL87UGBI8263131847</t>
  </si>
  <si>
    <t>UGBINL2A</t>
  </si>
  <si>
    <t>WELLS FARGO NA, NEW YORK</t>
  </si>
  <si>
    <t>PNBPUS3NNYC</t>
  </si>
  <si>
    <t>20001935-82132</t>
  </si>
  <si>
    <t>COOPERATIVE RABOBANK U.A., UTRECHT / THE NETHERLANDS</t>
  </si>
  <si>
    <t>Croeselaan 18, 3521 CB Utrecht, The Netherlands</t>
  </si>
  <si>
    <t>NL76RABO0163838186</t>
  </si>
  <si>
    <t>JP MORGAN CHASE, NEW YORK</t>
  </si>
  <si>
    <t>021000021</t>
  </si>
  <si>
    <t>pendiente</t>
  </si>
  <si>
    <t>KTI20170918</t>
  </si>
  <si>
    <t>KTI20170919</t>
  </si>
  <si>
    <t>NEW CHINA CHEMICALS CO.,LIMITED</t>
  </si>
  <si>
    <t>A1-1005 NEW SKYLINE STANDARD BUSINESS CENTER, No., 12 NANHAI ROAD, TEDA, TIANJIN 300457 P.R. CHINA.</t>
  </si>
  <si>
    <t>HSBC BANK (CHINA) COMPANY LIMITED TIANJIN BRANCH</t>
  </si>
  <si>
    <t>No.1 Ocean Shipping Plaza, Haihe Dong Lu,Hebei District, Tianjin 300010 China</t>
  </si>
  <si>
    <t>000042811</t>
  </si>
  <si>
    <t>HSBCCNSHTJN</t>
  </si>
  <si>
    <t>MRMD US 33</t>
  </si>
  <si>
    <t>HSBC BANK USA, NEW YORK,USA</t>
  </si>
  <si>
    <t>105 009898 070</t>
  </si>
  <si>
    <t>URALCHEM Trading SIA</t>
  </si>
  <si>
    <t>KRISJANA VALDEMARA STREET 62, RIGA, LV-1013, LATVIA</t>
  </si>
  <si>
    <t>NORDEA BANK AB LATVIA BRANCH</t>
  </si>
  <si>
    <t>NDEALV2X</t>
  </si>
  <si>
    <t>LV08NDEA0000082337306</t>
  </si>
  <si>
    <t>BANK OF AMERICA N.A., NEW YORK</t>
  </si>
  <si>
    <t xml:space="preserve">BANCO CORRESPNSAL:         </t>
  </si>
  <si>
    <t>BOFAUS3N</t>
  </si>
  <si>
    <t>NORDEA BANK FINLAND PLC, HELSINKI</t>
  </si>
  <si>
    <t>NDEAFIHH</t>
  </si>
  <si>
    <t>MF-023B/17</t>
  </si>
  <si>
    <t>MF-023C/17</t>
  </si>
  <si>
    <t>MF-023D/17</t>
  </si>
  <si>
    <t>MF-024B/17</t>
  </si>
  <si>
    <t>MF-024C/17</t>
  </si>
  <si>
    <t>MF-024D/17</t>
  </si>
  <si>
    <t>MF-024E/17</t>
  </si>
  <si>
    <t>MF-025B/17</t>
  </si>
  <si>
    <t>MF-025C/17</t>
  </si>
  <si>
    <t>MF-025D/17</t>
  </si>
  <si>
    <t>MF-025E/17</t>
  </si>
  <si>
    <t>I-9623</t>
  </si>
  <si>
    <t>I-9624</t>
  </si>
  <si>
    <t>I-9625</t>
  </si>
  <si>
    <t>I-9626</t>
  </si>
  <si>
    <t>I-9613</t>
  </si>
  <si>
    <t>I-9614</t>
  </si>
  <si>
    <t>I-9615</t>
  </si>
  <si>
    <t>I-9616</t>
  </si>
  <si>
    <t>I-9617</t>
  </si>
  <si>
    <t>I-9618</t>
  </si>
  <si>
    <t>I-9619</t>
  </si>
  <si>
    <t>I-9620</t>
  </si>
  <si>
    <t>I-9621</t>
  </si>
  <si>
    <t>I-9622</t>
  </si>
  <si>
    <t>35 MASON STREET GREENWICH, CT 06830, USA</t>
  </si>
  <si>
    <t>WELLS FARGO BANK</t>
  </si>
  <si>
    <t>420 MONTGOMERY ST., SAN FRANCISCO, CA 94104</t>
  </si>
  <si>
    <t>WFBIUS6S</t>
  </si>
  <si>
    <t>ROM-17020219</t>
  </si>
  <si>
    <t>MF-034/17</t>
  </si>
  <si>
    <t>MF-038A/17</t>
  </si>
  <si>
    <t>MF-038B/17</t>
  </si>
  <si>
    <t>MF-039A/17</t>
  </si>
  <si>
    <t>MF-039B/17</t>
  </si>
  <si>
    <t>MF-040A/17</t>
  </si>
  <si>
    <t>MF-040B/17</t>
  </si>
  <si>
    <t>MF-041A/17</t>
  </si>
  <si>
    <t>MF-041B/17</t>
  </si>
  <si>
    <t>Polisulfato Granulado</t>
  </si>
  <si>
    <t>Polisulfato Estándar</t>
  </si>
  <si>
    <t>Nitrato de Amonio</t>
  </si>
  <si>
    <t>SAMSUNG</t>
  </si>
  <si>
    <t xml:space="preserve">K+S KALI GMBH </t>
  </si>
  <si>
    <t>TESSENDERLO</t>
  </si>
  <si>
    <t>YARA</t>
  </si>
  <si>
    <t>20171014</t>
  </si>
  <si>
    <t xml:space="preserve"> </t>
  </si>
  <si>
    <t>PENDIENTE DE CONFIRMACIÓN DE FACTURA EN FÍSICO</t>
  </si>
  <si>
    <t>The Bank of TOKYO-MITSUBISHI UFJ LTD. TOKYO MAIN OFFICE</t>
  </si>
  <si>
    <t>7-1 Marunouchi 2-chome, Chiyoda-ku, Tokyo, Japan</t>
  </si>
  <si>
    <t>BOTKJPJT</t>
  </si>
  <si>
    <t>2-3-13,Konan, Minato-ku, Tokyo, 108-8208 Japan</t>
  </si>
  <si>
    <t>GASTOS OUR</t>
  </si>
  <si>
    <t>CANCELADO</t>
  </si>
  <si>
    <t>MF-042A/17</t>
  </si>
  <si>
    <t>MF-042B/17</t>
  </si>
  <si>
    <t>MF-043A/17</t>
  </si>
  <si>
    <t>MF-043B/17</t>
  </si>
  <si>
    <t>MF-045A/17</t>
  </si>
  <si>
    <t>MF-045B/17</t>
  </si>
  <si>
    <t>MF-046A/17</t>
  </si>
  <si>
    <t>MF-046B/17</t>
  </si>
  <si>
    <t>MF-048A/17</t>
  </si>
  <si>
    <t>MF-048B/17</t>
  </si>
  <si>
    <t>MF-048C/17</t>
  </si>
  <si>
    <t>MF-048D/17</t>
  </si>
  <si>
    <t>MF-049A/17</t>
  </si>
  <si>
    <t>MF-049B/17</t>
  </si>
  <si>
    <t>MF-050/17</t>
  </si>
  <si>
    <t>MF-051A/17</t>
  </si>
  <si>
    <t>MF-051B/17</t>
  </si>
  <si>
    <t>MF-052A/17</t>
  </si>
  <si>
    <t>MF-052B/17</t>
  </si>
  <si>
    <t>NPK 15-15-15</t>
  </si>
  <si>
    <t>PHOSAGRO</t>
  </si>
  <si>
    <t xml:space="preserve">NPK 12-32-16 </t>
  </si>
  <si>
    <t>Sulfato de Magnesio Heptahidratado (Hidrosoluble)</t>
  </si>
  <si>
    <t>STAR GRACE MINING CO.,LTD</t>
  </si>
  <si>
    <t xml:space="preserve">SUPERFOSFATO TRIPLE – TSP </t>
  </si>
  <si>
    <t>Nutrivant Plus Rice 0-46-30-Mg-B</t>
  </si>
  <si>
    <t>NutriVant Starter 11-36-24 + MN + FV</t>
  </si>
  <si>
    <t>Nutrivant Peakvant 0-49-32</t>
  </si>
  <si>
    <t xml:space="preserve">Nutrivant Plus Fruits 12-5-27-8 Ca </t>
  </si>
  <si>
    <t>SG-MS-L-11903</t>
  </si>
  <si>
    <t>MF-040C/17</t>
  </si>
  <si>
    <t>MF-040D/17</t>
  </si>
  <si>
    <t>Fosfato Monoamónico Granular</t>
  </si>
  <si>
    <t>F200-00015596</t>
  </si>
  <si>
    <t>F200-00015599</t>
  </si>
  <si>
    <t>F200-00015598</t>
  </si>
  <si>
    <t>F200-00015597</t>
  </si>
  <si>
    <t>STANDARD CHARTERED BANK</t>
  </si>
  <si>
    <t>SINGAPORE BRANCH 6 BATTERY ROAD, SINGAPORE 049909</t>
  </si>
  <si>
    <t>SAMSUNG C&amp;T SINGAPORE PTE LTD</t>
  </si>
  <si>
    <t>SCBLSGSG</t>
  </si>
  <si>
    <t>0170691764</t>
  </si>
  <si>
    <t>3 CHURCH STREET N° 21-04 SAMSUNG HUB, SINGAPORE 049483</t>
  </si>
  <si>
    <t>DE85 5208 0080 0350 6320 00</t>
  </si>
  <si>
    <t>DRESDEFF520</t>
  </si>
  <si>
    <t>3506320 00</t>
  </si>
  <si>
    <t>K+S KALI GMBH</t>
  </si>
  <si>
    <t>BERTHA-VON-SUTTNER-STR. 7 • 34131 KASSEL, GERMANY</t>
  </si>
  <si>
    <t>COMMERZBANK AG (FORMERLY DRESDNER BANK)</t>
  </si>
  <si>
    <t>MF-054/17</t>
  </si>
  <si>
    <t>MF-055/17</t>
  </si>
  <si>
    <t>MF-056A/17</t>
  </si>
  <si>
    <t>MF-056B/17</t>
  </si>
  <si>
    <t>Nitrato de Potasio Cristalizado (Big Bag)</t>
  </si>
  <si>
    <t>ANAGRA</t>
  </si>
  <si>
    <t>MF-057A/17</t>
  </si>
  <si>
    <t>MF-057B/17</t>
  </si>
  <si>
    <t>PATR-501292</t>
  </si>
  <si>
    <t>CITIBANK N.A., LONDON</t>
  </si>
  <si>
    <t>PHOSAGRO TRADING S.A.</t>
  </si>
  <si>
    <t>BAARERSTRASSE 63, 6300 ZUG, SWITZERLAND</t>
  </si>
  <si>
    <t>GB49CITI18500817450117</t>
  </si>
  <si>
    <t>CITIGB2L</t>
  </si>
  <si>
    <t>STANDBY</t>
  </si>
  <si>
    <t>MF-059/17</t>
  </si>
  <si>
    <t>MF-060/17</t>
  </si>
  <si>
    <t>MF-061A/17</t>
  </si>
  <si>
    <t>MF-061B/17</t>
  </si>
  <si>
    <t>MF-061C/17</t>
  </si>
  <si>
    <t>Duranit Durasop Elite x 1TM</t>
  </si>
  <si>
    <t>BLUELAND</t>
  </si>
  <si>
    <t>Quelato Fe HBED x 1KG</t>
  </si>
  <si>
    <t>Quelato Zn EDTA x 1KG</t>
  </si>
  <si>
    <t>Quelato Mn EDTA x 1KG</t>
  </si>
  <si>
    <t>YARA PERÚ SRL</t>
  </si>
  <si>
    <t>CAL. MONTERREY NRO. 355 DPTO 501, SANTIAGO DE SURCO, LIMA</t>
  </si>
  <si>
    <t>193-0845901-1-63</t>
  </si>
  <si>
    <t>BCP</t>
  </si>
  <si>
    <t>FECHA PAGO</t>
  </si>
  <si>
    <t>MF-062/17</t>
  </si>
  <si>
    <t>COMENTARIOS</t>
  </si>
  <si>
    <t>ANAGRA SA</t>
  </si>
  <si>
    <t>LOS CONQUISTADORES 1700, PISO 21, SANTIAGO DE CHILE, CHILE</t>
  </si>
  <si>
    <t>5 000 07688 05</t>
  </si>
  <si>
    <t>BANCO DE CHILE</t>
  </si>
  <si>
    <t>AHUMADA 251, Santiado, Chile</t>
  </si>
  <si>
    <t>026005652</t>
  </si>
  <si>
    <t>BCHICLRM</t>
  </si>
  <si>
    <t>99214212118-79</t>
  </si>
  <si>
    <t>BANQUE POPULAIRE, STRASBOURG</t>
  </si>
  <si>
    <t>FR76 1470 7000 0199 2142 1211 862</t>
  </si>
  <si>
    <t>CCBPFRPPMTZ</t>
  </si>
  <si>
    <t>25 PLACE DE LA REUNION, 68100 MULHOUSE / FRANCE</t>
  </si>
  <si>
    <t>PAGO SALDO DE 70%</t>
  </si>
  <si>
    <t>MF-063A/17</t>
  </si>
  <si>
    <t>MF-063B/17</t>
  </si>
  <si>
    <t>MF-064/17</t>
  </si>
  <si>
    <t>MF-067/17</t>
  </si>
  <si>
    <t>MF-068A/17</t>
  </si>
  <si>
    <t>MF-068B/17</t>
  </si>
  <si>
    <t>MF-069A/17</t>
  </si>
  <si>
    <t>MF-069B/17</t>
  </si>
  <si>
    <t>Nitrato de Potasio Cristalizado x 25KG</t>
  </si>
  <si>
    <t>Pekacid</t>
  </si>
  <si>
    <t>ROTEM AMFERT NEGEV LTD (NovaPeak)</t>
  </si>
  <si>
    <t>MF-065/17</t>
  </si>
  <si>
    <t>MF-066/17</t>
  </si>
  <si>
    <t>825/17 ZMU</t>
  </si>
  <si>
    <t>17090009</t>
  </si>
  <si>
    <t>CANCELADO  SOLO EL  40%</t>
  </si>
  <si>
    <t>4200569168</t>
  </si>
  <si>
    <t>PATR-501391</t>
  </si>
  <si>
    <t>709196</t>
  </si>
  <si>
    <t>aplicar NC</t>
  </si>
  <si>
    <t>PATR-501438</t>
  </si>
  <si>
    <t>CH73 0883 6140 2932 0000</t>
  </si>
  <si>
    <t>COMMERZBANK AG</t>
  </si>
  <si>
    <t>UTOQUAI, CH-8034 ZURICH</t>
  </si>
  <si>
    <t>PHOSAGRO TRADING SA</t>
  </si>
  <si>
    <t>BAARERSTRASSE 63, 6300 ZUG, ZWITZERLAND</t>
  </si>
  <si>
    <t>BANK CODE:</t>
  </si>
  <si>
    <t>4200569416</t>
  </si>
  <si>
    <t>000013</t>
  </si>
  <si>
    <t>MF-070A/17</t>
  </si>
  <si>
    <t>Sulfato de Amonio Blanco Estándar</t>
  </si>
  <si>
    <t>3 CHURCH STREET N 21-04 SAMSUNG HUB, SINGAPORE 049483</t>
  </si>
  <si>
    <t>SINGAPORE BRANCH 6 BATTERY ROAD, SINGAPORE, 049909</t>
  </si>
  <si>
    <t>PATR-501468</t>
  </si>
  <si>
    <t>10453</t>
  </si>
  <si>
    <t>10454</t>
  </si>
  <si>
    <t>AMSTERDAM TRADE BANK N.V.</t>
  </si>
  <si>
    <t>HERENGRACHT 469, 1001 RC AMSTERDAM, THE NETHERLANDS</t>
  </si>
  <si>
    <t>9001-802947-003</t>
  </si>
  <si>
    <t>NL16ATBA0802947003</t>
  </si>
  <si>
    <t>ATBANL2A</t>
  </si>
  <si>
    <t>6SIT2017003999</t>
  </si>
  <si>
    <t>6SIT2017004000</t>
  </si>
  <si>
    <t>20171109A</t>
  </si>
  <si>
    <t>826/17 ZMU 01</t>
  </si>
  <si>
    <t>827/17 ZMU 01</t>
  </si>
  <si>
    <t>826/17 ZMU 02</t>
  </si>
  <si>
    <t>827/17 ZMU 02</t>
  </si>
  <si>
    <t>MF-071/17</t>
  </si>
  <si>
    <t>0014</t>
  </si>
  <si>
    <t>10548</t>
  </si>
  <si>
    <t>10547</t>
  </si>
  <si>
    <t>PATR-501697</t>
  </si>
  <si>
    <t>GOTTHARDSTRASSE2, 6300 ZUG, SWITZERLAND</t>
  </si>
  <si>
    <t>CITIBANK N. A. LONDON</t>
  </si>
  <si>
    <t>OK</t>
  </si>
  <si>
    <t>KTI 20171283</t>
  </si>
  <si>
    <t>KTI 20171284</t>
  </si>
  <si>
    <t>KTI 20171285</t>
  </si>
  <si>
    <t>UBS AG GENEVA</t>
  </si>
  <si>
    <t>230 P0521.727.1</t>
  </si>
  <si>
    <t>CH31 0023 0230 P052 1727 1</t>
  </si>
  <si>
    <t>ZÜRCHERSTRASSE 68, P.O. Box, CH-8800 THALWL, SWITZERLAND</t>
  </si>
  <si>
    <t>GAVILON PERU SRL</t>
  </si>
  <si>
    <t>AV. PARDO Y ALIAGA N° 699 OFICINA 601 C, SAN ISIDRO, LIMA, PERÚ</t>
  </si>
  <si>
    <t>BANCO DE CREDITO</t>
  </si>
  <si>
    <t>193-1846203-014</t>
  </si>
  <si>
    <t>PATR-501705</t>
  </si>
  <si>
    <t>3 CHURCH  STREET,  NO. 21-04  SAMSUNG HUB, SINGAPORE 049483</t>
  </si>
  <si>
    <t xml:space="preserve">STANDARD CHARTERED BANK </t>
  </si>
  <si>
    <t xml:space="preserve">SINGAPORE BRANCH 6 BATTERY ROAD, SINGAPORE, 049909 
</t>
  </si>
  <si>
    <t>_0170691764</t>
  </si>
  <si>
    <t>KTI20171295</t>
  </si>
  <si>
    <t>230-P0521.727.1</t>
  </si>
  <si>
    <t>CH31 00 23 0230 P052 1727 1</t>
  </si>
  <si>
    <t>GAVILON FERTILIZER LLC</t>
  </si>
  <si>
    <t>BANK OF AMERICA, NA (NEW YORK, NY)</t>
  </si>
  <si>
    <t>_171000134</t>
  </si>
  <si>
    <t>60% de la factura</t>
  </si>
  <si>
    <t>MF-072A/17</t>
  </si>
  <si>
    <t>MF-072B/17</t>
  </si>
  <si>
    <t>MF-072C/17</t>
  </si>
  <si>
    <t>MF-073A/17</t>
  </si>
  <si>
    <t>MF-073B/17</t>
  </si>
  <si>
    <t>MF-074A/17</t>
  </si>
  <si>
    <t>MF-074B/17</t>
  </si>
  <si>
    <t>MF-075A/17</t>
  </si>
  <si>
    <t>MF-075B/17</t>
  </si>
  <si>
    <t>MF-076/17</t>
  </si>
  <si>
    <t>MF-077A/17</t>
  </si>
  <si>
    <t>MF-078A/17</t>
  </si>
  <si>
    <t>MF-079A/17</t>
  </si>
  <si>
    <t>MF-080A/17</t>
  </si>
  <si>
    <t>MF-081/17</t>
  </si>
  <si>
    <t>Omocote Plus (6m)</t>
  </si>
  <si>
    <t>Omocote Plus (9m)</t>
  </si>
  <si>
    <t>Osmocote Classic (4m)</t>
  </si>
  <si>
    <t>Cloruro de Potasio Rojo Granular</t>
  </si>
  <si>
    <t>Cloruro de Potasio Blanco Estandar</t>
  </si>
  <si>
    <t>20171226A</t>
  </si>
  <si>
    <t>MF-016/17</t>
  </si>
  <si>
    <t>KTI20171285</t>
  </si>
  <si>
    <t>KTI20171317</t>
  </si>
  <si>
    <t>299254-01</t>
  </si>
  <si>
    <t>001-550</t>
  </si>
  <si>
    <t>VARIAS</t>
  </si>
  <si>
    <t>BNP PARIBAS FORTIS</t>
  </si>
  <si>
    <t>MEIR 48, 2000 AMBERES, BELGICA</t>
  </si>
  <si>
    <t>BE37 2200 0386 9528</t>
  </si>
  <si>
    <t>GEBABE BB 18A</t>
  </si>
  <si>
    <t xml:space="preserve">BANCO CORRESPONSAL:         </t>
  </si>
  <si>
    <t>BNPAUS3N</t>
  </si>
  <si>
    <t>SBERBANK (SWITZERLAND) AG</t>
  </si>
  <si>
    <t xml:space="preserve">SWIFT:    </t>
  </si>
  <si>
    <t>SLBZCHZZ</t>
  </si>
  <si>
    <t>CH88 0882 5010 0715 01</t>
  </si>
  <si>
    <t>BNP PARIBAS USA NEW YORK BRANCH</t>
  </si>
  <si>
    <t>CITIBANK, NEW YORK</t>
  </si>
  <si>
    <t>CITIUS33</t>
  </si>
  <si>
    <t>CREDT EUROPE BANK N.V. (CEB), AMSTERDAM</t>
  </si>
  <si>
    <t>00190 19 432</t>
  </si>
  <si>
    <t>NL35 FBHL 0019 0194 32</t>
  </si>
  <si>
    <t>CITIBANK N.A., NEW YORK</t>
  </si>
  <si>
    <t>363 493 86</t>
  </si>
  <si>
    <t>CITIUS33XXX</t>
  </si>
  <si>
    <t>TESSENDERLO GROUP NV/SA</t>
  </si>
  <si>
    <t>TROONSTRAAT, RUE DU TRONE 130, B - 1050 BRUSSELS, BELGIUM.</t>
  </si>
  <si>
    <t>BELFIUS BANK</t>
  </si>
  <si>
    <t>BE63 5645 1400 4808</t>
  </si>
  <si>
    <t>GKCCBEBB</t>
  </si>
  <si>
    <t>10723</t>
  </si>
  <si>
    <t>MF-082B/17</t>
  </si>
  <si>
    <t>MF-083A/17</t>
  </si>
  <si>
    <t>MF-083B/17</t>
  </si>
  <si>
    <t>MF-084/17</t>
  </si>
  <si>
    <t>MF-085/17</t>
  </si>
  <si>
    <t>MF-086A/17</t>
  </si>
  <si>
    <t>MF-086B/17</t>
  </si>
  <si>
    <t>STAR GRACE MININ CO., LTD</t>
  </si>
  <si>
    <t>CHINA MERCHANTS BANK, H.O. SHENZHEN P.R.CHINA</t>
  </si>
  <si>
    <t>N° CUENTA:</t>
  </si>
  <si>
    <t xml:space="preserve"> . 411906282332666</t>
  </si>
  <si>
    <t>CMBCCNBSXXX</t>
  </si>
  <si>
    <t xml:space="preserve">TGO Agriculture (USA) Inc. </t>
  </si>
  <si>
    <t>MF-087/17</t>
  </si>
  <si>
    <t>MF-088/17</t>
  </si>
  <si>
    <t>20171226B</t>
  </si>
  <si>
    <t>. 201775387</t>
  </si>
  <si>
    <t>FORFAITING</t>
  </si>
  <si>
    <t>CLF-076C/17</t>
  </si>
  <si>
    <t>CL #</t>
  </si>
  <si>
    <t>SULFATO DE ZINC HEPTAHIDRATADO</t>
  </si>
  <si>
    <t>ABONO MALLKI X 25KG</t>
  </si>
  <si>
    <t>SULFATO DE COBRE PENTAHIDRATADO X 25KG</t>
  </si>
  <si>
    <t>NITRATO DE CALCIO x 25KG</t>
  </si>
  <si>
    <t>FERROSALT</t>
  </si>
  <si>
    <t>ZINSA</t>
  </si>
  <si>
    <t>SAN FERNANDO</t>
  </si>
  <si>
    <t>DÍAS</t>
  </si>
  <si>
    <t>CLF-091/17</t>
  </si>
  <si>
    <t>SULFATO FERROSO HEPTAHIDRATADO X 25KG</t>
  </si>
  <si>
    <t>URALKALI</t>
  </si>
  <si>
    <t>Sumar al pago el flete de Uralkali</t>
  </si>
  <si>
    <t>NC</t>
  </si>
  <si>
    <t>2000-C</t>
  </si>
  <si>
    <t>1000-C</t>
  </si>
  <si>
    <t>ADELANTO  CLORURO_BLUEBILL</t>
  </si>
  <si>
    <t xml:space="preserve">TGO AGRICULTURE (USA) INC. </t>
  </si>
  <si>
    <t>141 W JACKSON BLVD , SUITE 2716, CHICAGO, IL 60604 - USA</t>
  </si>
  <si>
    <t>BANK OF CHINA, NEW YORK BRANCH</t>
  </si>
  <si>
    <t>BKCHUS33</t>
  </si>
  <si>
    <t>ABA</t>
  </si>
  <si>
    <t>_026003269</t>
  </si>
  <si>
    <t>20171400</t>
  </si>
  <si>
    <t>_026007993</t>
  </si>
  <si>
    <t xml:space="preserve">SOLO QUEDA PENDIENTE DE PAGO UN MILLÓN CON LOS DOCUMENTOS </t>
  </si>
  <si>
    <t>1007/17 ZMU</t>
  </si>
  <si>
    <t>F001-00001105</t>
  </si>
  <si>
    <t>CLF-095B/17</t>
  </si>
  <si>
    <t>SULFATO DE MAGNESIO HEPTAHIDRATADO</t>
  </si>
  <si>
    <t>CONFIRMAR PAGO</t>
  </si>
  <si>
    <t>MF-089A/17</t>
  </si>
  <si>
    <t>MF-090A/17</t>
  </si>
  <si>
    <t>1'043,418.82</t>
  </si>
  <si>
    <t>Se restó flete, se pagó 431,250. Queda pendiente de pago</t>
  </si>
  <si>
    <t>49.25 x 6434.806 =316,914.1955</t>
  </si>
  <si>
    <t>CLF-058B/17</t>
  </si>
  <si>
    <t>CLF-058C/17</t>
  </si>
  <si>
    <t>CLF-058D/17</t>
  </si>
  <si>
    <t>CLF-096A/17</t>
  </si>
  <si>
    <t>CLF-096B/17</t>
  </si>
  <si>
    <t>CLF-096C/17</t>
  </si>
  <si>
    <t>CLF-096D/17</t>
  </si>
  <si>
    <t>CLF-096E/17</t>
  </si>
  <si>
    <t>F001-00001236</t>
  </si>
  <si>
    <t>F001-00001249</t>
  </si>
  <si>
    <t>CLF-100/17</t>
  </si>
  <si>
    <t>CLF-101/17</t>
  </si>
  <si>
    <t>ÁCIDO BÓRICO X 25KG</t>
  </si>
  <si>
    <t>INKABOR</t>
  </si>
  <si>
    <t>SULFATERÍA HNS</t>
  </si>
  <si>
    <t>VARIOS</t>
  </si>
  <si>
    <t>GAVILON FERTILIZER</t>
  </si>
  <si>
    <t>PAGO FLETE_BLUEBIL (URALKALI)</t>
  </si>
  <si>
    <t>F001-00001251</t>
  </si>
  <si>
    <t>F001-00001255</t>
  </si>
  <si>
    <t>F001-00001257</t>
  </si>
  <si>
    <t>CLF-096F/17</t>
  </si>
  <si>
    <t>MF-091/17</t>
  </si>
  <si>
    <t>MF-092A/17</t>
  </si>
  <si>
    <t>MF-092B/17</t>
  </si>
  <si>
    <t>MF-093A/17</t>
  </si>
  <si>
    <t>MF-093B/17</t>
  </si>
  <si>
    <t>MF-094A/17</t>
  </si>
  <si>
    <t>MF-094B/17</t>
  </si>
  <si>
    <t>MF-095A/17</t>
  </si>
  <si>
    <t>MF-096/17</t>
  </si>
  <si>
    <t>MF-097A/17</t>
  </si>
  <si>
    <t>MF-097B/17</t>
  </si>
  <si>
    <t>MF-098A/17</t>
  </si>
  <si>
    <t>MF-098B/17</t>
  </si>
  <si>
    <t>MF-099/17</t>
  </si>
  <si>
    <t>MF-100/17</t>
  </si>
  <si>
    <t>MF-101A/17</t>
  </si>
  <si>
    <t>Osmocote Plus (6m)</t>
  </si>
  <si>
    <t>Sulfato de Amonio Marrón Estándar</t>
  </si>
  <si>
    <t>NUTRICHEM PROCESSING LLP</t>
  </si>
  <si>
    <t>MF-102/17</t>
  </si>
  <si>
    <t>ES EL 15% DEL TOTAL</t>
  </si>
  <si>
    <t>PF-0812-17</t>
  </si>
  <si>
    <t>PF-0912-17</t>
  </si>
  <si>
    <t>LEIGH ROAD, COBHAM, SURREY, KT11 2LF, UNITED KINGDOM</t>
  </si>
  <si>
    <t>BARCLAYS BANK PLC, UNITED KINGDOM</t>
  </si>
  <si>
    <t>GB21 BARC 203883 4674 5111</t>
  </si>
  <si>
    <t>BARCGB22</t>
  </si>
  <si>
    <t>MF-002/18</t>
  </si>
  <si>
    <t>RETENIDOS</t>
  </si>
  <si>
    <t>SULFATO DE MANGANESO MONOHIDRATADO X 25KG</t>
  </si>
  <si>
    <t>QUIAGRAL</t>
  </si>
  <si>
    <t>PF184921/1</t>
  </si>
  <si>
    <t>CLF-096G/17</t>
  </si>
  <si>
    <t>CLF-096I/17</t>
  </si>
  <si>
    <t>CLF-096H/17</t>
  </si>
  <si>
    <t>CLF-096J/17</t>
  </si>
  <si>
    <t>F001-00001347</t>
  </si>
  <si>
    <t>F001-00001356</t>
  </si>
  <si>
    <t>F001-00001357</t>
  </si>
  <si>
    <t>F001-006577</t>
  </si>
  <si>
    <t>MINERALIUM</t>
  </si>
  <si>
    <t>YESO AGRÍCOLA (SULFATO DE CALCIO) X 25KG</t>
  </si>
  <si>
    <t>CLF-001/18</t>
  </si>
  <si>
    <t>CLF-002/18</t>
  </si>
  <si>
    <t>E001 - 4</t>
  </si>
  <si>
    <t>MF-003/18</t>
  </si>
  <si>
    <t>I35909</t>
  </si>
  <si>
    <t>ROTEM AMFERT NEGEV LTD</t>
  </si>
  <si>
    <t>POTASH HOUSE, POB 75 BEER-SHEVA 8410001, ISRAEL</t>
  </si>
  <si>
    <t>_045256</t>
  </si>
  <si>
    <t>BANK HAPOALIM B.M.</t>
  </si>
  <si>
    <t>IL53-0121-7700-0000-0045-256</t>
  </si>
  <si>
    <t>MF-082A.1/17</t>
  </si>
  <si>
    <t>MF-082A.2/17</t>
  </si>
  <si>
    <t>CLF-095C/17</t>
  </si>
  <si>
    <t>CLF-095D/17</t>
  </si>
  <si>
    <t>F200-00017730</t>
  </si>
  <si>
    <t>F200-00017810</t>
  </si>
  <si>
    <t>CLF-096K/17</t>
  </si>
  <si>
    <t>F001-00001377</t>
  </si>
  <si>
    <t>CLF-103A/17</t>
  </si>
  <si>
    <t>F010-0007744</t>
  </si>
  <si>
    <t>F301-000365</t>
  </si>
  <si>
    <t>F021-0009624</t>
  </si>
  <si>
    <t>FF01-0001063</t>
  </si>
  <si>
    <t>FF01-0001084</t>
  </si>
  <si>
    <t>FF01-0001103</t>
  </si>
  <si>
    <t>F010-0007743</t>
  </si>
  <si>
    <t>ZÜRCHERSTRASSE 68, P.O.BOX, CH-8800 THALWIL, SWITZERLAND</t>
  </si>
  <si>
    <t>F001-00001517</t>
  </si>
  <si>
    <t>F001-00001529</t>
  </si>
  <si>
    <t>CLF-096L/17</t>
  </si>
  <si>
    <t>F001-00001558</t>
  </si>
  <si>
    <t>F001-00001614</t>
  </si>
  <si>
    <t>INCL IGV</t>
  </si>
  <si>
    <t>CLF-096M/17</t>
  </si>
  <si>
    <t>CLF-096N/17</t>
  </si>
  <si>
    <t>F001-00001591</t>
  </si>
  <si>
    <t>CLF-003A/18</t>
  </si>
  <si>
    <t>CLF-003B18</t>
  </si>
  <si>
    <t>F010-0007746</t>
  </si>
  <si>
    <t>F010-0007745</t>
  </si>
  <si>
    <t>F200-00017979</t>
  </si>
  <si>
    <t>POR CONFIRMAR!</t>
  </si>
  <si>
    <t>MF-004A/18</t>
  </si>
  <si>
    <t>MF-004B/18</t>
  </si>
  <si>
    <t>CREDIT EUROPE BANK N.V. (CEB), AMSTERDAM</t>
  </si>
  <si>
    <t>FBHLNL2A</t>
  </si>
  <si>
    <t xml:space="preserve">BANK OF NEW YORK, NEW YORK </t>
  </si>
  <si>
    <t>IRVTUS3N</t>
  </si>
  <si>
    <t>CLF-011/18</t>
  </si>
  <si>
    <t>CLF-012/18</t>
  </si>
  <si>
    <t>CLF-013/18</t>
  </si>
  <si>
    <t>SQM VITAS PERÚ</t>
  </si>
  <si>
    <t>NITRATO DE POTASIO CRISTALIZADO</t>
  </si>
  <si>
    <t>MF-005A/18</t>
  </si>
  <si>
    <t>MF-005B/18</t>
  </si>
  <si>
    <t>MF-006A/18</t>
  </si>
  <si>
    <t>MF-006B/18</t>
  </si>
  <si>
    <t>MF-007A/18</t>
  </si>
  <si>
    <t>MF-007B/18</t>
  </si>
  <si>
    <t>MF-008A/18</t>
  </si>
  <si>
    <t>MF-008B/18</t>
  </si>
  <si>
    <t>MF-010/18</t>
  </si>
  <si>
    <t>Microelemento Sfera STI x 50kg</t>
  </si>
  <si>
    <t>MANTTRA AMERICAS</t>
  </si>
  <si>
    <t>Microelemento Sfera Z20 (Big bag)</t>
  </si>
  <si>
    <t>Microelemento Sfera 1 a Granel</t>
  </si>
  <si>
    <t>MF-011A/18</t>
  </si>
  <si>
    <t>MF-011B/18</t>
  </si>
  <si>
    <t>MF-011C/18</t>
  </si>
  <si>
    <t>FEB-MARZO</t>
  </si>
  <si>
    <t>se paga solo el 30%</t>
  </si>
  <si>
    <t>pendiente pago 70%</t>
  </si>
  <si>
    <t>890 00 97 310</t>
  </si>
  <si>
    <t>RABO BANK</t>
  </si>
  <si>
    <t>MF-012/18</t>
  </si>
  <si>
    <t>SG-MS-L-12029</t>
  </si>
  <si>
    <t>MF-013A/18</t>
  </si>
  <si>
    <t>MF-014A/18</t>
  </si>
  <si>
    <t>MF-014B/18</t>
  </si>
  <si>
    <t>MF-015/18</t>
  </si>
  <si>
    <t>MF-016A/18</t>
  </si>
  <si>
    <t>MF-016B/18</t>
  </si>
  <si>
    <t>MF-017A/18</t>
  </si>
  <si>
    <t>MF-017B/18</t>
  </si>
  <si>
    <t>MF-018/18</t>
  </si>
  <si>
    <t>MF-019/18</t>
  </si>
  <si>
    <t>Sulfato de Magnesio Monohidratado Granular (KIESERITA)</t>
  </si>
  <si>
    <t>CERES PERÚ</t>
  </si>
  <si>
    <t>103-00000028</t>
  </si>
  <si>
    <t>SG-MSL-12169-1</t>
  </si>
  <si>
    <t>OCBC BANK</t>
  </si>
  <si>
    <t>OCBC BANK 65 CHULIA STREET, OCBC CENTRE SINGAPORE 049513</t>
  </si>
  <si>
    <t>503413304301</t>
  </si>
  <si>
    <t>OCBCSGSG</t>
  </si>
  <si>
    <t>ROM17021248</t>
  </si>
  <si>
    <t>195/18 ZMU</t>
  </si>
  <si>
    <t>PF 202/18 ZMU</t>
  </si>
  <si>
    <t>I36790</t>
  </si>
  <si>
    <t>SG-MS-L-12082</t>
  </si>
  <si>
    <t>SIA URALCHEM TRADING</t>
  </si>
  <si>
    <t>LVO8NDEA0000082337306</t>
  </si>
  <si>
    <t>LUMINOR BANK AS</t>
  </si>
  <si>
    <t>PF 273/18 ZMU</t>
  </si>
  <si>
    <t>MF-023/18</t>
  </si>
  <si>
    <t>Microelemento Sfera 4 a Granel</t>
  </si>
  <si>
    <t>SC-000757</t>
  </si>
  <si>
    <t>MF-020/18</t>
  </si>
  <si>
    <t>MF-021/18</t>
  </si>
  <si>
    <t>MF-024/18</t>
  </si>
  <si>
    <t>PI 286/18 ZMU</t>
  </si>
  <si>
    <t>PI 287/18 ZMU</t>
  </si>
  <si>
    <t>PI 289/18 ZMU</t>
  </si>
  <si>
    <t>PI 290/18 ZMU</t>
  </si>
  <si>
    <t>PI 288/18 ZMU</t>
  </si>
  <si>
    <t>MF-013B1/18</t>
  </si>
  <si>
    <t>MF-013B2/18</t>
  </si>
  <si>
    <t>MF-013B3/18</t>
  </si>
  <si>
    <t>MF-022/18</t>
  </si>
  <si>
    <t>20180470</t>
  </si>
  <si>
    <t>UBSWCHZH80A</t>
  </si>
  <si>
    <t>MF-013B4/18</t>
  </si>
  <si>
    <t>MF-025/18</t>
  </si>
  <si>
    <t>MF-026A/18</t>
  </si>
  <si>
    <t>MF-026B/18</t>
  </si>
  <si>
    <t>MF-027A.1/18</t>
  </si>
  <si>
    <t>MF-027B.1/18</t>
  </si>
  <si>
    <t>MF-027A.2/18</t>
  </si>
  <si>
    <t>MF-027B.2/18</t>
  </si>
  <si>
    <t>MF-028A/18</t>
  </si>
  <si>
    <t>MF-028B/18</t>
  </si>
  <si>
    <t>MF-029A/18</t>
  </si>
  <si>
    <t>MF-029B/18</t>
  </si>
  <si>
    <t>MF-030/18</t>
  </si>
  <si>
    <t>MF-031/18</t>
  </si>
  <si>
    <t>0812-17</t>
  </si>
  <si>
    <t>0912-17</t>
  </si>
  <si>
    <t>6SIT2018001905</t>
  </si>
  <si>
    <t>REBGASSE 108, 4102 BINNINGEN, SWITZERLAND</t>
  </si>
  <si>
    <t>_313140293200</t>
  </si>
  <si>
    <t>COMMERZBANK (SCHWEIZ) USD - ZURICH</t>
  </si>
  <si>
    <t>CH7308836140293200001</t>
  </si>
  <si>
    <t>CITIBANK N.A. NEW YORK / USA</t>
  </si>
  <si>
    <t>MF-032/18</t>
  </si>
  <si>
    <t>MF-033/18</t>
  </si>
  <si>
    <t>MF-034A/18</t>
  </si>
  <si>
    <t>MF-034B/18</t>
  </si>
  <si>
    <t>MF-034C/18</t>
  </si>
  <si>
    <t>Sulfato de Potasio Soluble Org x 25kg - Hortisul</t>
  </si>
  <si>
    <t>Sulfato de Magnesio Heptahidratado Org x 25kg - Epsotop</t>
  </si>
  <si>
    <t>Micromax Fe HBED x 1KG</t>
  </si>
  <si>
    <t>Micromax Zn EDTA x 1KG</t>
  </si>
  <si>
    <t>Micromax Mn EDTA x 1KG</t>
  </si>
  <si>
    <t>ICL PREMIUM FERTILIZERS</t>
  </si>
  <si>
    <t>PI 4301457598</t>
  </si>
  <si>
    <t>PI 4301457599</t>
  </si>
  <si>
    <t>20180537</t>
  </si>
  <si>
    <t>627</t>
  </si>
  <si>
    <t>MF-035A/18</t>
  </si>
  <si>
    <t>S-01800800</t>
  </si>
  <si>
    <t>GT-78092</t>
  </si>
  <si>
    <t>GARANTIBANK INTERNATIONAL NV, AMSTERDAM</t>
  </si>
  <si>
    <t>NL34UGBI8263292948</t>
  </si>
  <si>
    <t>WELLS FARGO NA NEW YORK</t>
  </si>
  <si>
    <t>PNBP US 3N NYC</t>
  </si>
  <si>
    <t>MF-036A/18</t>
  </si>
  <si>
    <t>MF-036B/18</t>
  </si>
  <si>
    <t>MF-037A/18</t>
  </si>
  <si>
    <t>MF-038A/18</t>
  </si>
  <si>
    <t>MF-039A/18</t>
  </si>
  <si>
    <t>MF-039B/18</t>
  </si>
  <si>
    <t>PF185160/1</t>
  </si>
  <si>
    <t>PF185161/1</t>
  </si>
  <si>
    <t>PF185160/2</t>
  </si>
  <si>
    <t>SOLO 20%</t>
  </si>
  <si>
    <t>MF-037B/18</t>
  </si>
  <si>
    <t>PF185161/2</t>
  </si>
  <si>
    <t>SOLO 80%</t>
  </si>
  <si>
    <t>22139x</t>
  </si>
  <si>
    <t>MF-040A/18</t>
  </si>
  <si>
    <t>MF-040B/18</t>
  </si>
  <si>
    <t>MF-041A/18</t>
  </si>
  <si>
    <t>MF-042A/18</t>
  </si>
  <si>
    <t>MF-043A/18</t>
  </si>
  <si>
    <t>MF-044A/18</t>
  </si>
  <si>
    <t>MF-045/18</t>
  </si>
  <si>
    <t>MF-046/18</t>
  </si>
  <si>
    <t>MF-047/18</t>
  </si>
  <si>
    <t>Sulfato de Amonio Blanco Granular</t>
  </si>
  <si>
    <t xml:space="preserve">Sulfato de Magnesio Heptahidratado </t>
  </si>
  <si>
    <t>Urea AdBlue (big bag)</t>
  </si>
  <si>
    <t>Sulfato de Amonio Beige Estándar</t>
  </si>
  <si>
    <t>KTI20180957</t>
  </si>
  <si>
    <t>KTI20180933</t>
  </si>
  <si>
    <t>MF-048/18</t>
  </si>
  <si>
    <t>NYield Aditivo</t>
  </si>
  <si>
    <t>CANPOTEX</t>
  </si>
  <si>
    <t>KTI20180994</t>
  </si>
  <si>
    <t>KTI20181035</t>
  </si>
  <si>
    <t>c</t>
  </si>
  <si>
    <t>MF-038B2/18</t>
  </si>
  <si>
    <t>MF-038B1/18</t>
  </si>
  <si>
    <t>MF-049A/18</t>
  </si>
  <si>
    <t>MF-051A/18</t>
  </si>
  <si>
    <t>MF-052A/18</t>
  </si>
  <si>
    <t>MF-053A/18</t>
  </si>
  <si>
    <t>MF-054/18</t>
  </si>
  <si>
    <t>MF-037B1/18</t>
  </si>
  <si>
    <t>MF-037B2/18</t>
  </si>
  <si>
    <t>MF-037B3/18</t>
  </si>
  <si>
    <t>KTI20180989</t>
  </si>
  <si>
    <t>FLETE</t>
  </si>
  <si>
    <t>MF-055/18</t>
  </si>
  <si>
    <t>MF-056/18</t>
  </si>
  <si>
    <t>MF-057A/18</t>
  </si>
  <si>
    <t>MF-058A/18</t>
  </si>
  <si>
    <t>JM FERTILIZER</t>
  </si>
  <si>
    <t>INCLUYE NC 50,000</t>
  </si>
  <si>
    <t>INCLUYE NC 30,000</t>
  </si>
  <si>
    <t>SOLO 80% SALDO A FAVOR DE 20560</t>
  </si>
  <si>
    <t>MF-059A/18</t>
  </si>
  <si>
    <t>MF-059B/18</t>
  </si>
  <si>
    <t>MF-060A/18</t>
  </si>
  <si>
    <t>MF-060B/18</t>
  </si>
  <si>
    <t>18080013 (PF185160/2)</t>
  </si>
  <si>
    <t xml:space="preserve">PF185161/3 </t>
  </si>
  <si>
    <t>TM</t>
  </si>
  <si>
    <t>PAITA</t>
  </si>
  <si>
    <t>CALLAO</t>
  </si>
  <si>
    <t>MATARANI</t>
  </si>
  <si>
    <t>20181175</t>
  </si>
  <si>
    <t>INCLUYE -1,359.82USD</t>
  </si>
  <si>
    <t>GT-79079</t>
  </si>
  <si>
    <t>GT-79315</t>
  </si>
  <si>
    <t>20181109</t>
  </si>
  <si>
    <t>SG-MSL-12329-1</t>
  </si>
  <si>
    <t>MF-061A/18</t>
  </si>
  <si>
    <t>MF-061B/18</t>
  </si>
  <si>
    <t>MF-062A1/18</t>
  </si>
  <si>
    <t>MF-063A/18</t>
  </si>
  <si>
    <t>MITSUI &amp; CO., (Chile) Ltda</t>
  </si>
  <si>
    <t>SUPERFOSFATO TRIPLE – TSP X BIGBAG</t>
  </si>
  <si>
    <t>DEMURRAGE</t>
  </si>
  <si>
    <t>ECO SPLENDOR</t>
  </si>
  <si>
    <t>INCLUYE 833 DE POLIFOSF.  -1993.85 DE UN SOBRE PAGO</t>
  </si>
  <si>
    <t>MF-064/18</t>
  </si>
  <si>
    <t>MF-065A/18</t>
  </si>
  <si>
    <t>MF-065B/18</t>
  </si>
  <si>
    <t>MF-066/18</t>
  </si>
  <si>
    <t>MF-067/18</t>
  </si>
  <si>
    <t>MF-068A/18</t>
  </si>
  <si>
    <t>MF-069/18</t>
  </si>
  <si>
    <t>MF-070/18</t>
  </si>
  <si>
    <t>MF-071/18</t>
  </si>
  <si>
    <t>Agrocote 38-3-3</t>
  </si>
  <si>
    <t>6SIT2018004409</t>
  </si>
  <si>
    <t>6SIT2018004502</t>
  </si>
  <si>
    <t>MF-050/18</t>
  </si>
  <si>
    <t>K3465</t>
  </si>
  <si>
    <t>MF-073A/18</t>
  </si>
  <si>
    <t>MF-073B/18</t>
  </si>
  <si>
    <t>MF-074/18</t>
  </si>
  <si>
    <t>MF-075/18</t>
  </si>
  <si>
    <t>MF-076/18</t>
  </si>
  <si>
    <t>Mezcladora</t>
  </si>
  <si>
    <t>DOYLE EQUIPMENT MANUFACTURING CO</t>
  </si>
  <si>
    <t>LEASING</t>
  </si>
  <si>
    <t>PI 807/18 ZMU</t>
  </si>
  <si>
    <t>PI 808/18 ZMU</t>
  </si>
  <si>
    <t>PI 810/18 ZMU</t>
  </si>
  <si>
    <t>PI 811/18 ZMU</t>
  </si>
  <si>
    <t>MF-037A2/18</t>
  </si>
  <si>
    <t>MF-037A3/18</t>
  </si>
  <si>
    <t>23276x</t>
  </si>
  <si>
    <t>4566</t>
  </si>
  <si>
    <t>18090011</t>
  </si>
  <si>
    <t>SOLO 80% + 20650 - 675</t>
  </si>
  <si>
    <t>MF-077/18</t>
  </si>
  <si>
    <t>MF-078/18</t>
  </si>
  <si>
    <t>Duranit Durasop x 1TM</t>
  </si>
  <si>
    <t>MF-079/18</t>
  </si>
  <si>
    <t>MF-080/18</t>
  </si>
  <si>
    <t>CUESTIONAR DIAS DE TRAVESÍA</t>
  </si>
  <si>
    <t xml:space="preserve">EXPAN CHEMICALS NV </t>
  </si>
  <si>
    <t>HAY NC</t>
  </si>
  <si>
    <t>MF-040C/18</t>
  </si>
  <si>
    <t>20181108</t>
  </si>
  <si>
    <t>23353-I</t>
  </si>
  <si>
    <t>23354-I</t>
  </si>
  <si>
    <t>CR - MAG</t>
  </si>
  <si>
    <t>TIMAB</t>
  </si>
  <si>
    <t>MF-083/18</t>
  </si>
  <si>
    <t>MF-084A/18</t>
  </si>
  <si>
    <t>MF-084B/18</t>
  </si>
  <si>
    <t>MF-085A/18</t>
  </si>
  <si>
    <t>MF-085B/18</t>
  </si>
  <si>
    <t>MF-086/18</t>
  </si>
  <si>
    <t>MF-087/18</t>
  </si>
  <si>
    <t>MF-088A/18</t>
  </si>
  <si>
    <t>MF-089A/18</t>
  </si>
  <si>
    <t>MF-090A/18</t>
  </si>
  <si>
    <t>MF-090B/18</t>
  </si>
  <si>
    <t>SG-MSL-12329-2</t>
  </si>
  <si>
    <t>SG-MSL-12329-3</t>
  </si>
  <si>
    <t>PK</t>
  </si>
  <si>
    <t>INDAGRO</t>
  </si>
  <si>
    <t>RECONFIRMAR</t>
  </si>
  <si>
    <t>ES FOB, FLETE PAGA GAVILON</t>
  </si>
  <si>
    <t>18--10-4052</t>
  </si>
  <si>
    <t>MF-072A1/18</t>
  </si>
  <si>
    <t>MF-072A2/18</t>
  </si>
  <si>
    <t>MF-091/18</t>
  </si>
  <si>
    <t>MF-092B/18</t>
  </si>
  <si>
    <t>MF-093A/18</t>
  </si>
  <si>
    <t>MF-093B/18</t>
  </si>
  <si>
    <t>MF-094A/18</t>
  </si>
  <si>
    <t>MF-095A/18</t>
  </si>
  <si>
    <t>MF-096A/18</t>
  </si>
  <si>
    <t>MF-096B/18</t>
  </si>
  <si>
    <t>MF-097/18</t>
  </si>
  <si>
    <t>MF-098/18</t>
  </si>
  <si>
    <t>Microelemento Sfera 1 - 50kg</t>
  </si>
  <si>
    <t>Microelemento Sfera 4 - 50kg</t>
  </si>
  <si>
    <t>976/18 ZMU</t>
  </si>
  <si>
    <t>977/18 ZMU</t>
  </si>
  <si>
    <t>MF-099/18</t>
  </si>
  <si>
    <t>Fosfato Monopotasico (MKP) x BigBag</t>
  </si>
  <si>
    <t>20181787</t>
  </si>
  <si>
    <t>NITRON GROUP LLC</t>
  </si>
  <si>
    <t>MF-100/18</t>
  </si>
  <si>
    <t>MF-102A/18</t>
  </si>
  <si>
    <t>MF-103B/18</t>
  </si>
  <si>
    <t>MF-104/18</t>
  </si>
  <si>
    <t>MF-105A/18</t>
  </si>
  <si>
    <t>NITRON</t>
  </si>
  <si>
    <t>MF-105B/18</t>
  </si>
  <si>
    <t>MF-105C/18</t>
  </si>
  <si>
    <t>MF-106/18</t>
  </si>
  <si>
    <t>MF-107A/18</t>
  </si>
  <si>
    <t>MF-107B/18</t>
  </si>
  <si>
    <t>MF-108A1/18</t>
  </si>
  <si>
    <t>MF-108B1/18</t>
  </si>
  <si>
    <t>MF-108A2/18</t>
  </si>
  <si>
    <t>MF-108B2/18</t>
  </si>
  <si>
    <t>MF-110A/18</t>
  </si>
  <si>
    <t>Tiosulfato de Potasio</t>
  </si>
  <si>
    <t>MF-110B/18</t>
  </si>
  <si>
    <t>Tiosulfato de Amonio</t>
  </si>
  <si>
    <t>MF-110C/18</t>
  </si>
  <si>
    <t>Tiosultado de Calcio</t>
  </si>
  <si>
    <t>MF-111A/18</t>
  </si>
  <si>
    <t>MF-111B/18</t>
  </si>
  <si>
    <t>MF-101A/18</t>
  </si>
  <si>
    <t>20181792</t>
  </si>
  <si>
    <t>7SIT2018001255</t>
  </si>
  <si>
    <t>23330</t>
  </si>
  <si>
    <t>23331</t>
  </si>
  <si>
    <t>SI0004867</t>
  </si>
  <si>
    <t>SI0005337</t>
  </si>
  <si>
    <t>18120009</t>
  </si>
  <si>
    <t>I40972</t>
  </si>
  <si>
    <t>FTNCRG180309</t>
  </si>
  <si>
    <t>4200615942</t>
  </si>
  <si>
    <t>4200615890</t>
  </si>
  <si>
    <t>812</t>
  </si>
  <si>
    <t>813</t>
  </si>
  <si>
    <t>MF-073A2/18</t>
  </si>
  <si>
    <t>MF-062A2/18</t>
  </si>
  <si>
    <t>B7FE-18-1002-PNPE</t>
  </si>
  <si>
    <t>B7FE-18-1001-PNPE</t>
  </si>
  <si>
    <t>KTS201810526</t>
  </si>
  <si>
    <t>KTS201810527</t>
  </si>
  <si>
    <t>B7FE-18-1002-PNPE-01</t>
  </si>
  <si>
    <t>MF-081A1/18</t>
  </si>
  <si>
    <t>MF-081A2/18</t>
  </si>
  <si>
    <t>MF-082A1/18</t>
  </si>
  <si>
    <t>MF-082A2/18</t>
  </si>
  <si>
    <t>201852681</t>
  </si>
  <si>
    <t>201852793</t>
  </si>
  <si>
    <t>201852906</t>
  </si>
  <si>
    <t>5211</t>
  </si>
  <si>
    <t>24191</t>
  </si>
  <si>
    <t>4200615943</t>
  </si>
  <si>
    <t>4200615891</t>
  </si>
  <si>
    <t>20181854</t>
  </si>
  <si>
    <t>MF-001/19</t>
  </si>
  <si>
    <t>MF-002/19</t>
  </si>
  <si>
    <t>TRADE FINANCE</t>
  </si>
  <si>
    <t>MF-003/19</t>
  </si>
  <si>
    <t>MF-004A/19</t>
  </si>
  <si>
    <t>MF-005A/19</t>
  </si>
  <si>
    <t>MF-006/19</t>
  </si>
  <si>
    <t>AGROQUIMICOS</t>
  </si>
  <si>
    <t>CR - Mag x 25kg</t>
  </si>
  <si>
    <t>ANTALIEN</t>
  </si>
  <si>
    <t>201950037</t>
  </si>
  <si>
    <t>24650</t>
  </si>
  <si>
    <t>24651</t>
  </si>
  <si>
    <t>24652</t>
  </si>
  <si>
    <t>PF185420/2</t>
  </si>
  <si>
    <t>20190034</t>
  </si>
  <si>
    <t>EN PROCESO DE PAGO</t>
  </si>
  <si>
    <t>FERTINAGRO</t>
  </si>
  <si>
    <t>20190058</t>
  </si>
  <si>
    <t>20190059</t>
  </si>
  <si>
    <t>20190116</t>
  </si>
  <si>
    <t>NO SE APLICÓ NC DE 440</t>
  </si>
  <si>
    <t>NO SE APLICÓ NC DE 220</t>
  </si>
  <si>
    <t>40100198</t>
  </si>
  <si>
    <t>40100160</t>
  </si>
  <si>
    <t>MF-062B/18</t>
  </si>
  <si>
    <t>MF-092A.1/18</t>
  </si>
  <si>
    <t>MF-092A.2/18</t>
  </si>
  <si>
    <t>MF-092A.3/18</t>
  </si>
  <si>
    <t>4200622898</t>
  </si>
  <si>
    <t>PF185420/19010028</t>
  </si>
  <si>
    <t>MF-108A/18</t>
  </si>
  <si>
    <t>MF-108B/18</t>
  </si>
  <si>
    <t>MF-109/18</t>
  </si>
  <si>
    <t>MF-007/19</t>
  </si>
  <si>
    <t>Urea Fosfatada x 25kg</t>
  </si>
  <si>
    <t>MF-008/19</t>
  </si>
  <si>
    <t>MF-009A/19</t>
  </si>
  <si>
    <t>MF-009B/19</t>
  </si>
  <si>
    <t>MF-010A/19</t>
  </si>
  <si>
    <t>MF-010B/19</t>
  </si>
  <si>
    <t>MF-011A/19</t>
  </si>
  <si>
    <t>MF-011B/19</t>
  </si>
  <si>
    <t>MF-012A/19</t>
  </si>
  <si>
    <t>MF-012B/19</t>
  </si>
  <si>
    <t>MF-013/19</t>
  </si>
  <si>
    <t>MF-014/19</t>
  </si>
  <si>
    <t>MF-015/19</t>
  </si>
  <si>
    <t>MF-017/19</t>
  </si>
  <si>
    <t>MF-018/19</t>
  </si>
  <si>
    <t>MF-019/19</t>
  </si>
  <si>
    <t>DREYMOOR</t>
  </si>
  <si>
    <t>MF-021/19</t>
  </si>
  <si>
    <t>MF-022/19</t>
  </si>
  <si>
    <t>SG-MSL-12329-4</t>
  </si>
  <si>
    <t>ÁCIDO BÓRICO x 25kg</t>
  </si>
  <si>
    <t>20190135</t>
  </si>
  <si>
    <t>20190087</t>
  </si>
  <si>
    <t>20190089</t>
  </si>
  <si>
    <t>CON NC</t>
  </si>
  <si>
    <t>201950035</t>
  </si>
  <si>
    <t>4200624811</t>
  </si>
  <si>
    <t>KTS 20190058</t>
  </si>
  <si>
    <t>KTS 20190059</t>
  </si>
  <si>
    <t>MF-026/19</t>
  </si>
  <si>
    <t>MF-027/19</t>
  </si>
  <si>
    <t>MF-028/19</t>
  </si>
  <si>
    <t>MF-029A/19</t>
  </si>
  <si>
    <t>MF-029B/19</t>
  </si>
  <si>
    <t>MF-029C/19</t>
  </si>
  <si>
    <t>Potashplus a granel</t>
  </si>
  <si>
    <t>MF-030A/19</t>
  </si>
  <si>
    <t>MF-031B/19</t>
  </si>
  <si>
    <t>MF-032A/19</t>
  </si>
  <si>
    <t>MF-033A/19</t>
  </si>
  <si>
    <t>MF-033B/19</t>
  </si>
  <si>
    <t>25201</t>
  </si>
  <si>
    <t>MF-002.1/19</t>
  </si>
  <si>
    <t>MF-002.2/19</t>
  </si>
  <si>
    <t>MF-034/19</t>
  </si>
  <si>
    <t>MF-035A/19</t>
  </si>
  <si>
    <t>MF-035B/19</t>
  </si>
  <si>
    <t>CR - Mag BIGBAG</t>
  </si>
  <si>
    <t>25390</t>
  </si>
  <si>
    <t>FORFATING</t>
  </si>
  <si>
    <t>25333</t>
  </si>
  <si>
    <t>|</t>
  </si>
  <si>
    <t>MF-036A/19</t>
  </si>
  <si>
    <t>MF-036B/19</t>
  </si>
  <si>
    <t>MF-036C/19</t>
  </si>
  <si>
    <t>MF-036D/19</t>
  </si>
  <si>
    <t>MF-036E/19</t>
  </si>
  <si>
    <t>MF-036F/19</t>
  </si>
  <si>
    <t>MF-036G/19</t>
  </si>
  <si>
    <t>MF-036H/19</t>
  </si>
  <si>
    <t>MF-036I/19</t>
  </si>
  <si>
    <t>MF-037/19</t>
  </si>
  <si>
    <t>Naturdai Mimetic x 1L</t>
  </si>
  <si>
    <t>Naturdai Mimetic x 5L</t>
  </si>
  <si>
    <t>Bipoclean x 25kg</t>
  </si>
  <si>
    <t>Vegex Fos Soap x 1L</t>
  </si>
  <si>
    <t>Vegex Fos Soap x 5L</t>
  </si>
  <si>
    <t>Vegex Crisoil x 1L</t>
  </si>
  <si>
    <t>Vegex Kuneka Plus x 1L</t>
  </si>
  <si>
    <t>Vegex Kuneka Plus x 5L</t>
  </si>
  <si>
    <t>Vegex Soilnet x 1L</t>
  </si>
  <si>
    <t>IDAI NATURE</t>
  </si>
  <si>
    <t>MAS 540USD QUE SE DEBIÓ DE PAGAR EN FACTURA ANTERIOR DE TN DAWN AMSUL GRANULAR SALAVERRY</t>
  </si>
  <si>
    <t>MF-032B1/19</t>
  </si>
  <si>
    <t>MF-032B2/19</t>
  </si>
  <si>
    <t>MF-023A1/19</t>
  </si>
  <si>
    <t>MF-023B1/19</t>
  </si>
  <si>
    <t>MF-023A2/19</t>
  </si>
  <si>
    <t>MF-023B2/19</t>
  </si>
  <si>
    <t>MF-023A3/19</t>
  </si>
  <si>
    <t>MF-023B3/19</t>
  </si>
  <si>
    <t>MF-024A/19</t>
  </si>
  <si>
    <t>MF-024B/19</t>
  </si>
  <si>
    <t>MF-038/19</t>
  </si>
  <si>
    <t>MF-039/19</t>
  </si>
  <si>
    <t>MF-040/19</t>
  </si>
  <si>
    <t>4755</t>
  </si>
  <si>
    <t>4769</t>
  </si>
  <si>
    <t>4777</t>
  </si>
  <si>
    <t>20190333</t>
  </si>
  <si>
    <t>20190334</t>
  </si>
  <si>
    <t>MF-103A1/18</t>
  </si>
  <si>
    <t>MF-103A2/18</t>
  </si>
  <si>
    <t>B7FE-18-1201-PNPE-01</t>
  </si>
  <si>
    <t>B7FE-18-1201-PNPE-02</t>
  </si>
  <si>
    <t>7FE-18-1202-PNPE</t>
  </si>
  <si>
    <t>5913</t>
  </si>
  <si>
    <t>20190223</t>
  </si>
  <si>
    <t>MF-016A1/19</t>
  </si>
  <si>
    <t>MF-016A2/19</t>
  </si>
  <si>
    <t>B7FE-19-0202-MSPE-01</t>
  </si>
  <si>
    <t>B7FE-19-0202-MSPE-02</t>
  </si>
  <si>
    <t>19030022</t>
  </si>
  <si>
    <t>MF-020A1/19</t>
  </si>
  <si>
    <t>MF-020A2/19</t>
  </si>
  <si>
    <t>25227</t>
  </si>
  <si>
    <t>MF-031A/19</t>
  </si>
  <si>
    <t>903</t>
  </si>
  <si>
    <t>902</t>
  </si>
  <si>
    <t>FV194E000021</t>
  </si>
  <si>
    <t>MF-042A/19</t>
  </si>
  <si>
    <t>MF-043A/19</t>
  </si>
  <si>
    <t>MF-044A/19</t>
  </si>
  <si>
    <t>MF-044B/19</t>
  </si>
  <si>
    <t>301000830</t>
  </si>
  <si>
    <t>301000829</t>
  </si>
  <si>
    <t>MF-030B1/19</t>
  </si>
  <si>
    <t>MF-030B2/19</t>
  </si>
  <si>
    <t>KTI20190377</t>
  </si>
  <si>
    <t>KTI20190402</t>
  </si>
  <si>
    <t>MF-030B3/19</t>
  </si>
  <si>
    <t>25748</t>
  </si>
  <si>
    <t>KTI201900429</t>
  </si>
  <si>
    <t>KTI20190447</t>
  </si>
  <si>
    <t>KTI201910157</t>
  </si>
  <si>
    <t>KTI20190301</t>
  </si>
  <si>
    <t>KTI20190456</t>
  </si>
  <si>
    <t xml:space="preserve">KTI 20190451 </t>
  </si>
  <si>
    <t xml:space="preserve">KTI 20190370 </t>
  </si>
  <si>
    <t>KTI20190371</t>
  </si>
  <si>
    <t>KTI 20190315</t>
  </si>
  <si>
    <t>MF-030B4/19</t>
  </si>
  <si>
    <t xml:space="preserve">KTI 20190455 </t>
  </si>
  <si>
    <t>MF-048/19</t>
  </si>
  <si>
    <t>MF-049/19</t>
  </si>
  <si>
    <t>MF-045/19</t>
  </si>
  <si>
    <t>MF-046A/19</t>
  </si>
  <si>
    <t>MF-047A2/19</t>
  </si>
  <si>
    <t>MF-047A1/19</t>
  </si>
  <si>
    <t>MF-047B1/19</t>
  </si>
  <si>
    <t>MF-047B2/19</t>
  </si>
  <si>
    <t>MF-032B4/19</t>
  </si>
  <si>
    <t>MF-032B3/19</t>
  </si>
  <si>
    <t>KTI 20190498</t>
  </si>
  <si>
    <t>KTI20190502</t>
  </si>
  <si>
    <t>KTI20190503</t>
  </si>
  <si>
    <t>19030070</t>
  </si>
  <si>
    <t>301000848</t>
  </si>
  <si>
    <t>301000849</t>
  </si>
  <si>
    <t>6277</t>
  </si>
  <si>
    <t>MF-051/19</t>
  </si>
  <si>
    <t>MF-052/19</t>
  </si>
  <si>
    <t>KTI20190544</t>
  </si>
  <si>
    <t>KTI20190545</t>
  </si>
  <si>
    <t>MF-053A/19</t>
  </si>
  <si>
    <t>MF-053B/19</t>
  </si>
  <si>
    <t>MF-053C/19</t>
  </si>
  <si>
    <t>MF-054/19</t>
  </si>
  <si>
    <t>MF-055/19</t>
  </si>
  <si>
    <t>MF-056/19</t>
  </si>
  <si>
    <t>MF-057/19</t>
  </si>
  <si>
    <t>MF-058/19</t>
  </si>
  <si>
    <t>MF-059/19</t>
  </si>
  <si>
    <t>MF-060/19</t>
  </si>
  <si>
    <t>MF-062/19</t>
  </si>
  <si>
    <t>ACTAGRO</t>
  </si>
  <si>
    <t>MF-063/19</t>
  </si>
  <si>
    <t>MF-064/19</t>
  </si>
  <si>
    <t>ROM19020210</t>
  </si>
  <si>
    <t>ROM19020211</t>
  </si>
  <si>
    <t>ROM19020213</t>
  </si>
  <si>
    <t>301000887</t>
  </si>
  <si>
    <t>301000886</t>
  </si>
  <si>
    <t>Osmocote Plus 15-9-12 (6m)</t>
  </si>
  <si>
    <t>Osmocote Plus 15-9-12 (9m)</t>
  </si>
  <si>
    <t>Osmocote Classic 14-14-14 (4m)</t>
  </si>
  <si>
    <t>Osmocote Plus 15-9-12 (4m)</t>
  </si>
  <si>
    <t>I43127</t>
  </si>
  <si>
    <t>I43126</t>
  </si>
  <si>
    <t>MF-029D/19</t>
  </si>
  <si>
    <t>MF-029E/19</t>
  </si>
  <si>
    <t>SG-MSL-12329-5</t>
  </si>
  <si>
    <t>19CH-40101332</t>
  </si>
  <si>
    <t>MF-065/19</t>
  </si>
  <si>
    <t>MF-066A1/19</t>
  </si>
  <si>
    <t>MF-066B1/19</t>
  </si>
  <si>
    <t>MF-066A2/19</t>
  </si>
  <si>
    <t>MF-066B2/19</t>
  </si>
  <si>
    <t>MF-067/19</t>
  </si>
  <si>
    <t>MF-068/19</t>
  </si>
  <si>
    <t>MF-069A/19</t>
  </si>
  <si>
    <t>MF-070A/19</t>
  </si>
  <si>
    <t>MF-070B/19</t>
  </si>
  <si>
    <t>MF-071/19</t>
  </si>
  <si>
    <t>MF-072/19</t>
  </si>
  <si>
    <t>MF-073/19</t>
  </si>
  <si>
    <t>MF-074A/19</t>
  </si>
  <si>
    <t>MF-074B/19</t>
  </si>
  <si>
    <t>MF-075/19</t>
  </si>
  <si>
    <t>MF-076/19</t>
  </si>
  <si>
    <t>MF-078/19</t>
  </si>
  <si>
    <t>MF-079/19</t>
  </si>
  <si>
    <t>SG-MSL-12329-7</t>
  </si>
  <si>
    <t>KTI20190661</t>
  </si>
  <si>
    <t>I43962</t>
  </si>
  <si>
    <t>MF-041/19</t>
  </si>
  <si>
    <t xml:space="preserve"> ROM19020781</t>
  </si>
  <si>
    <t>ROM19020782</t>
  </si>
  <si>
    <t>ROM19020783</t>
  </si>
  <si>
    <t>ROM19020784</t>
  </si>
  <si>
    <t>20190629</t>
  </si>
  <si>
    <t>20190653</t>
  </si>
  <si>
    <t>20190655</t>
  </si>
  <si>
    <t>KTI20190636</t>
  </si>
  <si>
    <t>20190668</t>
  </si>
  <si>
    <t>20190656</t>
  </si>
  <si>
    <t>MF-061A1/19</t>
  </si>
  <si>
    <t>MF-061A2/19</t>
  </si>
  <si>
    <t>MF-061A3/19</t>
  </si>
  <si>
    <t>Cloruro de Potasio Rojo</t>
  </si>
  <si>
    <t>Cloruro de Potasio Standard</t>
  </si>
  <si>
    <t>Sulfato de Amonio Std</t>
  </si>
  <si>
    <t>Fosfato Diamónico a Granel</t>
  </si>
  <si>
    <t>20190687</t>
  </si>
  <si>
    <t>20190662</t>
  </si>
  <si>
    <t>20190663</t>
  </si>
  <si>
    <t>20190678</t>
  </si>
  <si>
    <t>20190689</t>
  </si>
  <si>
    <t>1000079</t>
  </si>
  <si>
    <t>1000101</t>
  </si>
  <si>
    <t>MF-069B/19</t>
  </si>
  <si>
    <t>1000109</t>
  </si>
  <si>
    <t>FLETE MV Interlink Probity</t>
  </si>
  <si>
    <t>27034</t>
  </si>
  <si>
    <t>27215</t>
  </si>
  <si>
    <t>MF-046B1/19</t>
  </si>
  <si>
    <t>MF-046B2/19</t>
  </si>
  <si>
    <t>MF-053B1/19</t>
  </si>
  <si>
    <t>EVOLHUMIC- DRIP X 10LT</t>
  </si>
  <si>
    <t>EVOLHUMIC- DRIP X 20LT</t>
  </si>
  <si>
    <t>EVOLHUMIC- DRIP X 20LT (MUESTRA)</t>
  </si>
  <si>
    <t>KICKUP X 10LT (MUESTRA)</t>
  </si>
  <si>
    <t>STRUCTURE X 10LT (MUESTRA)</t>
  </si>
  <si>
    <t>49672</t>
  </si>
  <si>
    <t>MF-053D/19</t>
  </si>
  <si>
    <t>201951668</t>
  </si>
  <si>
    <t>4200640143</t>
  </si>
  <si>
    <t>301000929</t>
  </si>
  <si>
    <t>301000928</t>
  </si>
  <si>
    <t>301000936</t>
  </si>
  <si>
    <t>301000935</t>
  </si>
  <si>
    <t>MF-077A/19</t>
  </si>
  <si>
    <t>GT-86821</t>
  </si>
  <si>
    <t>MF-080/19</t>
  </si>
  <si>
    <t>UREA ADBLUE (BIG BAG)</t>
  </si>
  <si>
    <t>MF-082/19</t>
  </si>
  <si>
    <t>MF-081/19</t>
  </si>
  <si>
    <t>MF-083/19</t>
  </si>
  <si>
    <t>SULFATO DE MAGNESIO HEPTAHIDRATADO ORG X 25KG - EPSOTOP</t>
  </si>
  <si>
    <t>MF-084/19</t>
  </si>
  <si>
    <t>MF-085/19</t>
  </si>
  <si>
    <t>MF-086/19</t>
  </si>
  <si>
    <t>MF-087A/19</t>
  </si>
  <si>
    <t>MF-087B/19</t>
  </si>
  <si>
    <t>MF-088/19</t>
  </si>
  <si>
    <t>MF-089/19</t>
  </si>
  <si>
    <t>MF-090/19</t>
  </si>
  <si>
    <t>MF-091/19</t>
  </si>
  <si>
    <t>MF-092/19</t>
  </si>
  <si>
    <t>MF-093/19</t>
  </si>
  <si>
    <t>MF-094/19</t>
  </si>
  <si>
    <t>NITRATO DE CALCIO PREMIUM</t>
  </si>
  <si>
    <t xml:space="preserve">SULFATO DE MAGNESIO HEPTAHIDRATADO </t>
  </si>
  <si>
    <t>NITRATO DE MAGNESIO HEXAHIDRATADO</t>
  </si>
  <si>
    <t>MITSUI &amp; CO., Ltda</t>
  </si>
  <si>
    <t>FOSFATO MONOAMÓNICO CRISTALIZADO</t>
  </si>
  <si>
    <t>FOSFATO MONOAMÓNICO CRISTALIZADO (MX)</t>
  </si>
  <si>
    <t>Días BL</t>
  </si>
  <si>
    <t>588/19 ZMU</t>
  </si>
  <si>
    <t>587/19 ZMU</t>
  </si>
  <si>
    <t>19CH-40101695</t>
  </si>
  <si>
    <t>702/19</t>
  </si>
  <si>
    <t>27658</t>
  </si>
  <si>
    <t>5036</t>
  </si>
  <si>
    <t>SG-MSL-12329-6</t>
  </si>
  <si>
    <t>KTI S1000106</t>
  </si>
  <si>
    <t>5057</t>
  </si>
  <si>
    <t>5058</t>
  </si>
  <si>
    <t xml:space="preserve">SG-MSL-12329-8 </t>
  </si>
  <si>
    <t>SAL DOBLE DE NITRATO DE CALCIO Y AMONIO</t>
  </si>
  <si>
    <t>MF-095B1/19</t>
  </si>
  <si>
    <t>MF-095B2/19</t>
  </si>
  <si>
    <t>MF-096A/19</t>
  </si>
  <si>
    <t>POTASHPLUS A GRANEL</t>
  </si>
  <si>
    <t>MF-096B/19</t>
  </si>
  <si>
    <t>MF-097A/19</t>
  </si>
  <si>
    <t>MF-097B/19</t>
  </si>
  <si>
    <t>MF-098A1/19</t>
  </si>
  <si>
    <t>MF-098A2/19</t>
  </si>
  <si>
    <t>MF-099A1/19</t>
  </si>
  <si>
    <t>MF-099A2/19</t>
  </si>
  <si>
    <t>MF-101A1/19</t>
  </si>
  <si>
    <t>MF-101A2/19</t>
  </si>
  <si>
    <t>MF-101B/19</t>
  </si>
  <si>
    <t>MF-102/19</t>
  </si>
  <si>
    <t>ÁCIDO FOSFÓRICO</t>
  </si>
  <si>
    <t>SULFATO DE POTASIO SOLUBLE</t>
  </si>
  <si>
    <t>MICROELEMENTO SFERA 4 A GRANEL</t>
  </si>
  <si>
    <t>FOSFATO MONOAMÓNICO GRANULAR</t>
  </si>
  <si>
    <t>HELMAG</t>
  </si>
  <si>
    <t>MF-104/19</t>
  </si>
  <si>
    <t>BLOQUEADA ( NC -51,925.40usd)</t>
  </si>
  <si>
    <t>FIRMA RESP.</t>
  </si>
  <si>
    <t>FECHA FIRMA</t>
  </si>
  <si>
    <t>G.G.</t>
  </si>
  <si>
    <t>B7FE-19-0701-MNPE</t>
  </si>
  <si>
    <t>1000231</t>
  </si>
  <si>
    <t>MF-095A1/19</t>
  </si>
  <si>
    <t>MF-095A2/19</t>
  </si>
  <si>
    <t>301001036</t>
  </si>
  <si>
    <t>301001037</t>
  </si>
  <si>
    <t>MF-103A1/19</t>
  </si>
  <si>
    <t>MF-103A2/19</t>
  </si>
  <si>
    <t>MF-105A/19</t>
  </si>
  <si>
    <t>MF-105B/19</t>
  </si>
  <si>
    <t>MF-106A/19</t>
  </si>
  <si>
    <t xml:space="preserve">K+S ASIA PACIFIC PTE LTD                        </t>
  </si>
  <si>
    <t>MF-106B/19</t>
  </si>
  <si>
    <t>MF-107/19</t>
  </si>
  <si>
    <t>UREA PERLADA</t>
  </si>
  <si>
    <t>G.O.</t>
  </si>
  <si>
    <t>746/19 ZMU</t>
  </si>
  <si>
    <t>747/19 ZMU</t>
  </si>
  <si>
    <t>19CH-40101951</t>
  </si>
  <si>
    <t>5051</t>
  </si>
  <si>
    <t>MF-108/19</t>
  </si>
  <si>
    <t>MF-109/19</t>
  </si>
  <si>
    <t>MF-110A/19</t>
  </si>
  <si>
    <t>MF-110B/19</t>
  </si>
  <si>
    <t>APLICAR NC 22661-Q (50MILUSD)</t>
  </si>
  <si>
    <t>SMEW</t>
  </si>
  <si>
    <t>22661-Q</t>
  </si>
  <si>
    <t>1000230</t>
  </si>
  <si>
    <t>1000267</t>
  </si>
  <si>
    <t>20191062</t>
  </si>
  <si>
    <t>4200644173</t>
  </si>
  <si>
    <t>28230</t>
  </si>
  <si>
    <t>788/19</t>
  </si>
  <si>
    <t>1000279</t>
  </si>
  <si>
    <t>1000281</t>
  </si>
  <si>
    <t>5110</t>
  </si>
  <si>
    <t>28360</t>
  </si>
  <si>
    <t>20191004</t>
  </si>
  <si>
    <t>20191014</t>
  </si>
  <si>
    <t>1012026</t>
  </si>
  <si>
    <t>MF-113A1/19</t>
  </si>
  <si>
    <t>MF-113A2/19</t>
  </si>
  <si>
    <t>MF-114A/19</t>
  </si>
  <si>
    <t>MF-115/19</t>
  </si>
  <si>
    <t>MF-116A/19</t>
  </si>
  <si>
    <t>MF-117A/19</t>
  </si>
  <si>
    <t>MF-118B/19</t>
  </si>
  <si>
    <t>MF-120A/19</t>
  </si>
  <si>
    <t>MF-120B/19</t>
  </si>
  <si>
    <t>BROWN AGRONYL CR X 20KG</t>
  </si>
  <si>
    <t>LUENGO COLOR, SLU</t>
  </si>
  <si>
    <t>UREA GRANULADA</t>
  </si>
  <si>
    <t>FOSFATO DIAMÓNICO GRANULAR</t>
  </si>
  <si>
    <t>CLORURO DE POTASIO ROJO GRANULAR</t>
  </si>
  <si>
    <t xml:space="preserve">URALCHEM </t>
  </si>
  <si>
    <t>19CH-40102290</t>
  </si>
  <si>
    <t>PC 191.761</t>
  </si>
  <si>
    <t>CN S1000106</t>
  </si>
  <si>
    <t>5135CM</t>
  </si>
  <si>
    <t>5107CM</t>
  </si>
  <si>
    <t>877/19 ZMU</t>
  </si>
  <si>
    <t>278/ 19 ZMU</t>
  </si>
  <si>
    <t>I44091</t>
  </si>
  <si>
    <t>I38242</t>
  </si>
  <si>
    <t>19CH-40102392</t>
  </si>
  <si>
    <t>1000352</t>
  </si>
  <si>
    <t>1000348</t>
  </si>
  <si>
    <t>MF-111.1/19</t>
  </si>
  <si>
    <t>MF-111.2/19</t>
  </si>
  <si>
    <t>MF-111.3/19</t>
  </si>
  <si>
    <t>20190853</t>
  </si>
  <si>
    <t>SIN FIRMA</t>
  </si>
  <si>
    <t>X AUSENCIA</t>
  </si>
  <si>
    <t>698/19</t>
  </si>
  <si>
    <t>NITRATO DE AMONIO</t>
  </si>
  <si>
    <t>GT-88354</t>
  </si>
  <si>
    <t>GT-88691</t>
  </si>
  <si>
    <t>MF-077B1/19</t>
  </si>
  <si>
    <t>MF-077B2/19</t>
  </si>
  <si>
    <t>MF-098A3/19</t>
  </si>
  <si>
    <t>28518-A</t>
  </si>
  <si>
    <t>SG-MSL-12329-9A</t>
  </si>
  <si>
    <t>SG-MSL-12329-9B</t>
  </si>
  <si>
    <t>5114</t>
  </si>
  <si>
    <t>4610007104</t>
  </si>
  <si>
    <t>SG-MSL-12329-10</t>
  </si>
  <si>
    <t>MF-121A/19</t>
  </si>
  <si>
    <t>MF-121B/19</t>
  </si>
  <si>
    <t>MF-122A/19</t>
  </si>
  <si>
    <t>MF-122C/19</t>
  </si>
  <si>
    <t>MF-123A/19</t>
  </si>
  <si>
    <t>MF-123B/19</t>
  </si>
  <si>
    <t>MF-124A/19</t>
  </si>
  <si>
    <t>MF-124B/19</t>
  </si>
  <si>
    <t>MF-125A/19</t>
  </si>
  <si>
    <t>MF-125B/19</t>
  </si>
  <si>
    <t>MF-126A/19</t>
  </si>
  <si>
    <t>MF-126B/19</t>
  </si>
  <si>
    <t>URALCHEM (MITSUI)</t>
  </si>
  <si>
    <t>2019001</t>
  </si>
  <si>
    <t>19CH-40102635</t>
  </si>
  <si>
    <t>PHOSAGRO (MITSUI)</t>
  </si>
  <si>
    <t>MF-128A/19</t>
  </si>
  <si>
    <t>MF-128B/19</t>
  </si>
  <si>
    <t>SULFATO DE AMONIO BLANCO GRANULAR</t>
  </si>
  <si>
    <t>SULFATO DE POTASIO SOLUBLE ORG X 25KG - HORTISUL</t>
  </si>
  <si>
    <t>MF-127/19</t>
  </si>
  <si>
    <t>JPD2284</t>
  </si>
  <si>
    <t>19CH-40102714</t>
  </si>
  <si>
    <t>MF-100.1/19</t>
  </si>
  <si>
    <t>MF-100.2/19</t>
  </si>
  <si>
    <t>MF-100.3/19</t>
  </si>
  <si>
    <t>861/19</t>
  </si>
  <si>
    <t>20190867</t>
  </si>
  <si>
    <t>20190865</t>
  </si>
  <si>
    <t>4610007175</t>
  </si>
  <si>
    <t>861-1/19</t>
  </si>
  <si>
    <t>O#861-1/9B</t>
  </si>
  <si>
    <t>ROM19021588</t>
  </si>
  <si>
    <t>ROM19021587</t>
  </si>
  <si>
    <t>B7FE-19-0902-MNPE</t>
  </si>
  <si>
    <t>29125</t>
  </si>
  <si>
    <t>MF-122B1/19</t>
  </si>
  <si>
    <t>MF-122B2/19</t>
  </si>
  <si>
    <t>SG-MSL-12329-12</t>
  </si>
  <si>
    <t>SG-MSL-12329-11A</t>
  </si>
  <si>
    <t>SG-MSL-12329-11B</t>
  </si>
  <si>
    <t>SG-MSL-12329-13</t>
  </si>
  <si>
    <t>SI0015597</t>
  </si>
  <si>
    <t>SI0015474</t>
  </si>
  <si>
    <t>SG-ZSL-12329-15</t>
  </si>
  <si>
    <t>SG-ZSL-12329-14</t>
  </si>
  <si>
    <t>AUTORIZACIÓN CORREO G.G.</t>
  </si>
  <si>
    <t>S/N</t>
  </si>
  <si>
    <t>MF-112.1/19</t>
  </si>
  <si>
    <t>MF-112.2/19</t>
  </si>
  <si>
    <t>MF-098A4/19</t>
  </si>
  <si>
    <t>28518-B</t>
  </si>
  <si>
    <t>28518-C</t>
  </si>
  <si>
    <t>24190-C</t>
  </si>
  <si>
    <t>KTS 201910222</t>
  </si>
  <si>
    <t>MF-130.1/19</t>
  </si>
  <si>
    <t>MF-130.2/19</t>
  </si>
  <si>
    <t>MF-130.3/19</t>
  </si>
  <si>
    <t>MF-131/19</t>
  </si>
  <si>
    <t>MF-001/20</t>
  </si>
  <si>
    <t>BIPOCLEAN X 25KG</t>
  </si>
  <si>
    <t>VEGEX CRISOIL X 1L</t>
  </si>
  <si>
    <t>VEGEX CRISOIL X 20L</t>
  </si>
  <si>
    <t>AGROCOTE 38-3-3</t>
  </si>
  <si>
    <t>EVA-FERT AG</t>
  </si>
  <si>
    <t>MF-003A/20</t>
  </si>
  <si>
    <t>MF-006/20</t>
  </si>
  <si>
    <t>MF-007/20</t>
  </si>
  <si>
    <t>MF-009A/20</t>
  </si>
  <si>
    <t>MF-009B/20</t>
  </si>
  <si>
    <t>MF-010A/20</t>
  </si>
  <si>
    <t>MF-010B/20</t>
  </si>
  <si>
    <t>MF-011/20</t>
  </si>
  <si>
    <t>MF-012A/20</t>
  </si>
  <si>
    <t>MF-013A/20</t>
  </si>
  <si>
    <t>ACF Minera</t>
  </si>
  <si>
    <t>WEGROW AG</t>
  </si>
  <si>
    <t>7300014260</t>
  </si>
  <si>
    <t>7300017996</t>
  </si>
  <si>
    <t>FV194E000182</t>
  </si>
  <si>
    <t>2010100170</t>
  </si>
  <si>
    <t>SG-MSL-12329-17</t>
  </si>
  <si>
    <t>862-863/19</t>
  </si>
  <si>
    <t>29126</t>
  </si>
  <si>
    <t>SI0015912</t>
  </si>
  <si>
    <t>SI0015810</t>
  </si>
  <si>
    <t>SI0016421</t>
  </si>
  <si>
    <t>SI0016272-A</t>
  </si>
  <si>
    <t>SI0016272-B</t>
  </si>
  <si>
    <t>MF-119/19</t>
  </si>
  <si>
    <t>YARA PERÚ S.R.L</t>
  </si>
  <si>
    <t>MF-015/20</t>
  </si>
  <si>
    <t>MF-016/20</t>
  </si>
  <si>
    <t>MF-017/20</t>
  </si>
  <si>
    <t>MF-018/20</t>
  </si>
  <si>
    <t>MF-024/20</t>
  </si>
  <si>
    <t>MF-025/20</t>
  </si>
  <si>
    <t>MF-026/20</t>
  </si>
  <si>
    <t>MF-027/20</t>
  </si>
  <si>
    <t>MF-028A/19</t>
  </si>
  <si>
    <t>MF-028C/19</t>
  </si>
  <si>
    <t>MF-028D/19</t>
  </si>
  <si>
    <t>YARAMILA HYDRAN</t>
  </si>
  <si>
    <t>YARAMILA INTEGRADOR NPK 15-09-20</t>
  </si>
  <si>
    <t>YARAMILA COMPLEX</t>
  </si>
  <si>
    <t>YARALIVA CALCINIT X 25KG</t>
  </si>
  <si>
    <t>EVOLHUMIC- DRIP X 210LT</t>
  </si>
  <si>
    <t>KICKUP X 10LT</t>
  </si>
  <si>
    <t>MF-022/20</t>
  </si>
  <si>
    <t>MF-004/20</t>
  </si>
  <si>
    <t>MICROMAX ZN EDTA X 1KG</t>
  </si>
  <si>
    <t>PPC ADOB Sp. z o.o. Sp. K.</t>
  </si>
  <si>
    <t>J</t>
  </si>
  <si>
    <t>Trade Finance</t>
  </si>
  <si>
    <t>FEBRERO</t>
  </si>
  <si>
    <t>LÍNEASE DE CRÉDITO CON TRADE FINANCE</t>
  </si>
  <si>
    <t>Proveedor</t>
  </si>
  <si>
    <t>Mes Vcto</t>
  </si>
  <si>
    <t>Año Vcto</t>
  </si>
  <si>
    <t>Monto USD</t>
  </si>
  <si>
    <t>MF-003B2/20</t>
  </si>
  <si>
    <t>MF-003B1/20</t>
  </si>
  <si>
    <t>SG-MSL-12329-16A</t>
  </si>
  <si>
    <t>SG-MSL-12329-16B</t>
  </si>
  <si>
    <t>DEX 0031/03/2020</t>
  </si>
  <si>
    <t>MF-005.1/20</t>
  </si>
  <si>
    <t>MF-005.2/20</t>
  </si>
  <si>
    <t>29872</t>
  </si>
  <si>
    <t>29970</t>
  </si>
  <si>
    <t>29802</t>
  </si>
  <si>
    <t>391</t>
  </si>
  <si>
    <t>413</t>
  </si>
  <si>
    <t>441</t>
  </si>
  <si>
    <t>5000041</t>
  </si>
  <si>
    <t>F200-00042141</t>
  </si>
  <si>
    <t>F200-00042150</t>
  </si>
  <si>
    <t>F200-00042148</t>
  </si>
  <si>
    <t>F200-00042140</t>
  </si>
  <si>
    <t>51631</t>
  </si>
  <si>
    <t>MF-031/20</t>
  </si>
  <si>
    <t>MF-032/20</t>
  </si>
  <si>
    <t>MF-033/20</t>
  </si>
  <si>
    <t>MF-034/20</t>
  </si>
  <si>
    <t>MF-035A/20</t>
  </si>
  <si>
    <t>MF-036/20</t>
  </si>
  <si>
    <t>MF-037/20</t>
  </si>
  <si>
    <t>MF-038/20</t>
  </si>
  <si>
    <t>MF-039A1/20</t>
  </si>
  <si>
    <t>MF-039A2/20</t>
  </si>
  <si>
    <t>MF-039A3/20</t>
  </si>
  <si>
    <t>MF-039B1/20</t>
  </si>
  <si>
    <t>MF-040/20</t>
  </si>
  <si>
    <t>MF-041/20</t>
  </si>
  <si>
    <t>MF-042/20</t>
  </si>
  <si>
    <t>MF-043/20</t>
  </si>
  <si>
    <t>MF-044/20</t>
  </si>
  <si>
    <t>MF-045/20</t>
  </si>
  <si>
    <t>MF-046/20</t>
  </si>
  <si>
    <t>MF-047/20</t>
  </si>
  <si>
    <t>MF-048/20</t>
  </si>
  <si>
    <t>MF-049/20</t>
  </si>
  <si>
    <t>MF-050/20</t>
  </si>
  <si>
    <t>MF-051/20</t>
  </si>
  <si>
    <t>MF-052A/20</t>
  </si>
  <si>
    <t>MF-052B/20</t>
  </si>
  <si>
    <t>MF-053A/20</t>
  </si>
  <si>
    <t>MF-054A/20</t>
  </si>
  <si>
    <t>MF-054B/20</t>
  </si>
  <si>
    <t>MF-054C/20</t>
  </si>
  <si>
    <t>MF-054D/20</t>
  </si>
  <si>
    <t>MF-054E/20</t>
  </si>
  <si>
    <t>MF-054F/20</t>
  </si>
  <si>
    <t>MF-054G/20</t>
  </si>
  <si>
    <t>MF-054H/20</t>
  </si>
  <si>
    <t>SULFATO DE AMONIO ESTÁNDAR</t>
  </si>
  <si>
    <t>MICROELEMENTO SFERA 4 - 50KG</t>
  </si>
  <si>
    <t>NITRATO POTÁSICO ÁCIDO</t>
  </si>
  <si>
    <t>NYIELD ADITIVO</t>
  </si>
  <si>
    <t>CLORURO DE POTASIO BLANCO ESTANDAR</t>
  </si>
  <si>
    <t>SULFATO DE POTASIO GRANULAR</t>
  </si>
  <si>
    <t>POLISULFATO GRANULADO</t>
  </si>
  <si>
    <t>BIPOCLEAN X 5KG</t>
  </si>
  <si>
    <t>VEGEX KUNEKA PLUS X 20L</t>
  </si>
  <si>
    <t>IDAI BROTAVERD X 1 LT</t>
  </si>
  <si>
    <t>IDAI COBRE X 1 LT</t>
  </si>
  <si>
    <t>VEGEX PROTOIL X 1L</t>
  </si>
  <si>
    <t>NATURDAI S-SYSTEM X 1 LT</t>
  </si>
  <si>
    <t>F200-00042222</t>
  </si>
  <si>
    <t>F200-00042243</t>
  </si>
  <si>
    <t>F200-00042237</t>
  </si>
  <si>
    <t>MF-029/20</t>
  </si>
  <si>
    <t>MF-030.1/20</t>
  </si>
  <si>
    <t>MF-030.2/20</t>
  </si>
  <si>
    <t>Adelantado</t>
  </si>
  <si>
    <t>Pago antes de cargar (50%)</t>
  </si>
  <si>
    <t>Forfaiting</t>
  </si>
  <si>
    <t>MF-055.1/20</t>
  </si>
  <si>
    <t>MF-055.2/20</t>
  </si>
  <si>
    <t>MF-056/20</t>
  </si>
  <si>
    <t>MF-058/20</t>
  </si>
  <si>
    <t>MF-059/20</t>
  </si>
  <si>
    <t>MF-060/20</t>
  </si>
  <si>
    <t>MF-061/20</t>
  </si>
  <si>
    <t>MF-062/20</t>
  </si>
  <si>
    <t>MF-063/20</t>
  </si>
  <si>
    <t>MF-064/20</t>
  </si>
  <si>
    <t>MF-065/20</t>
  </si>
  <si>
    <t>MF-068/20</t>
  </si>
  <si>
    <t>MF-069/20</t>
  </si>
  <si>
    <t>MF-070/20</t>
  </si>
  <si>
    <t>MF-071/20</t>
  </si>
  <si>
    <t>MF-072/20</t>
  </si>
  <si>
    <t>MF-073/20</t>
  </si>
  <si>
    <t>MF-074/20</t>
  </si>
  <si>
    <t>MF-075/20</t>
  </si>
  <si>
    <t>MF-076/20</t>
  </si>
  <si>
    <t>MF-077/20</t>
  </si>
  <si>
    <t>MF-078/20</t>
  </si>
  <si>
    <t>MF-079/20</t>
  </si>
  <si>
    <t>MF-080/20</t>
  </si>
  <si>
    <t>MF-082/20</t>
  </si>
  <si>
    <t>MF-083/20</t>
  </si>
  <si>
    <t>MF-085/20</t>
  </si>
  <si>
    <t>MF-086/20</t>
  </si>
  <si>
    <t>MF-087/20</t>
  </si>
  <si>
    <t>MF-088/20</t>
  </si>
  <si>
    <t>MF-089/20</t>
  </si>
  <si>
    <t>MF-090/20</t>
  </si>
  <si>
    <t>YARATERA CALCINIT X 25KG</t>
  </si>
  <si>
    <t>YARALIVA CALCINIT X BIGBAG</t>
  </si>
  <si>
    <t>CHENGDU ROCCA CO.,LTD</t>
  </si>
  <si>
    <t>30453</t>
  </si>
  <si>
    <t>447</t>
  </si>
  <si>
    <t>1242</t>
  </si>
  <si>
    <t>1272</t>
  </si>
  <si>
    <t>5000063</t>
  </si>
  <si>
    <t>3000485</t>
  </si>
  <si>
    <t>Forfaiting Banco a Proveedor</t>
  </si>
  <si>
    <t>Saldo (50% de 3000TM) + 300TM adicionales</t>
  </si>
  <si>
    <t>301001370</t>
  </si>
  <si>
    <t>MF-091/20</t>
  </si>
  <si>
    <t>MF-092/20</t>
  </si>
  <si>
    <t>MF-093/20</t>
  </si>
  <si>
    <t>MF-094/20</t>
  </si>
  <si>
    <t>MF-095/20</t>
  </si>
  <si>
    <t>MF-096/20</t>
  </si>
  <si>
    <t>MF-097/20</t>
  </si>
  <si>
    <t>MF-098/20</t>
  </si>
  <si>
    <t>MF-099/20</t>
  </si>
  <si>
    <t>MF-100/20</t>
  </si>
  <si>
    <t>MF-101A/20</t>
  </si>
  <si>
    <t>MF-101B/20</t>
  </si>
  <si>
    <t>MF-102/20</t>
  </si>
  <si>
    <t>MF-103/20</t>
  </si>
  <si>
    <t>MF-104/20</t>
  </si>
  <si>
    <t>MF-106/20</t>
  </si>
  <si>
    <t>MF-107A/20</t>
  </si>
  <si>
    <t>MF-107B/20</t>
  </si>
  <si>
    <t>MF-109A/20</t>
  </si>
  <si>
    <t>MF-110/20</t>
  </si>
  <si>
    <t>MF-111/20</t>
  </si>
  <si>
    <t>MF-112/20</t>
  </si>
  <si>
    <t>MF-113A/20</t>
  </si>
  <si>
    <t>MF-113B20</t>
  </si>
  <si>
    <t>MF-114/20</t>
  </si>
  <si>
    <t>MF-115/20</t>
  </si>
  <si>
    <t>FOSFATO MONOPOTASICO (MKP) X 25KG</t>
  </si>
  <si>
    <t>ZINCODUR 25/17 BIGBAGS X1250KG</t>
  </si>
  <si>
    <t>COMPASS MINERALS</t>
  </si>
  <si>
    <t>45 / 2020</t>
  </si>
  <si>
    <t>EQ NPK LIQ SUL POTASIO ACID GRANEL</t>
  </si>
  <si>
    <t>EQ NPK LIQ SUPER K 15.5 ACID GRANEL</t>
  </si>
  <si>
    <t>MF-116/20</t>
  </si>
  <si>
    <t>MF-117/20</t>
  </si>
  <si>
    <t>301001400</t>
  </si>
  <si>
    <t>220.061</t>
  </si>
  <si>
    <t>PAGAR CON OK DE JORGE</t>
  </si>
  <si>
    <t>463</t>
  </si>
  <si>
    <t>464</t>
  </si>
  <si>
    <t>5000082</t>
  </si>
  <si>
    <t>20200139</t>
  </si>
  <si>
    <t>220.070</t>
  </si>
  <si>
    <t>30790</t>
  </si>
  <si>
    <t>MF-057.1/20</t>
  </si>
  <si>
    <t>MF-057.2/20</t>
  </si>
  <si>
    <t>MF-057.3/20</t>
  </si>
  <si>
    <t>F200-00042404</t>
  </si>
  <si>
    <t>F200-00042389</t>
  </si>
  <si>
    <t>F200-00042405</t>
  </si>
  <si>
    <t>F200-00042388</t>
  </si>
  <si>
    <t>F200-00042406</t>
  </si>
  <si>
    <t>MF-081.1/20</t>
  </si>
  <si>
    <t>MF-081.2/20</t>
  </si>
  <si>
    <t>F200-00042462</t>
  </si>
  <si>
    <t>F200-00042461</t>
  </si>
  <si>
    <t>F200-00042460</t>
  </si>
  <si>
    <t>MF-108/20</t>
  </si>
  <si>
    <t>MF-118A/20</t>
  </si>
  <si>
    <t>MF-118B/20</t>
  </si>
  <si>
    <t>MF-119/20</t>
  </si>
  <si>
    <t>AGRIFERT</t>
  </si>
  <si>
    <t>20200192</t>
  </si>
  <si>
    <t>220.094</t>
  </si>
  <si>
    <t>220.093</t>
  </si>
  <si>
    <t>220.095</t>
  </si>
  <si>
    <t>F-0001</t>
  </si>
  <si>
    <t>5000095</t>
  </si>
  <si>
    <t>5000107</t>
  </si>
  <si>
    <t>5000106</t>
  </si>
  <si>
    <t>5000102</t>
  </si>
  <si>
    <t>MF-053B2/20</t>
  </si>
  <si>
    <t>MF-053B1/20</t>
  </si>
  <si>
    <t>5000105</t>
  </si>
  <si>
    <t>FV204E000045</t>
  </si>
  <si>
    <t>5000108</t>
  </si>
  <si>
    <t>20JEQ001-2</t>
  </si>
  <si>
    <t>SG-MSL-12329-18A</t>
  </si>
  <si>
    <t>SG-MSL-12329-18B</t>
  </si>
  <si>
    <t>B7FE-20-3009-PAPE-01</t>
  </si>
  <si>
    <t>SG-ZSL-12329-21</t>
  </si>
  <si>
    <t>F200-42469</t>
  </si>
  <si>
    <t>F200-00042466</t>
  </si>
  <si>
    <t>F200-00042470</t>
  </si>
  <si>
    <t>B7FE-20-3011-PNPE</t>
  </si>
  <si>
    <t>F200-00042472</t>
  </si>
  <si>
    <t>F200-00042477</t>
  </si>
  <si>
    <t>F200-00042473</t>
  </si>
  <si>
    <t>MF-220/20</t>
  </si>
  <si>
    <t>MF-221/20</t>
  </si>
  <si>
    <t>MF-223/20</t>
  </si>
  <si>
    <t>MF-224/20</t>
  </si>
  <si>
    <t>MF-225/20</t>
  </si>
  <si>
    <t>MF-227/20</t>
  </si>
  <si>
    <t>YARATERA REXOLIN X60 X5KG</t>
  </si>
  <si>
    <t>301001429</t>
  </si>
  <si>
    <t>220.101</t>
  </si>
  <si>
    <t>301001434</t>
  </si>
  <si>
    <t>220.102</t>
  </si>
  <si>
    <t>220.103</t>
  </si>
  <si>
    <t>F200-00042481</t>
  </si>
  <si>
    <t>F200-00042538</t>
  </si>
  <si>
    <t>MF-226.1/20</t>
  </si>
  <si>
    <t>MF-226.2/20</t>
  </si>
  <si>
    <t>MF-228/20</t>
  </si>
  <si>
    <t>MF-229/20</t>
  </si>
  <si>
    <t>MF-230/20</t>
  </si>
  <si>
    <t>MF-231/20</t>
  </si>
  <si>
    <t>MF-232/20</t>
  </si>
  <si>
    <t>MF-233/20</t>
  </si>
  <si>
    <t>MF-234/20</t>
  </si>
  <si>
    <t>MF-235/20</t>
  </si>
  <si>
    <t>MF-236/20</t>
  </si>
  <si>
    <t>MF-237/20</t>
  </si>
  <si>
    <t>MF-238/20</t>
  </si>
  <si>
    <t>MF-241/20</t>
  </si>
  <si>
    <t>MF-243/20</t>
  </si>
  <si>
    <t>MF-244/20</t>
  </si>
  <si>
    <t>MF-245/20</t>
  </si>
  <si>
    <t>MF-246/20</t>
  </si>
  <si>
    <t>MF-247/20</t>
  </si>
  <si>
    <t>MF-248/20</t>
  </si>
  <si>
    <t>YARAMILA KABAL PLUS NPK 10-30-10 X50KG</t>
  </si>
  <si>
    <t>TRIPLE QUINCE X50KG</t>
  </si>
  <si>
    <t>YARAMILA KABAL NPK 10-20-20 X 50KG</t>
  </si>
  <si>
    <t>YARALIVA NITRABOR A GRANEL</t>
  </si>
  <si>
    <t>550</t>
  </si>
  <si>
    <t>5000122</t>
  </si>
  <si>
    <t>5000138</t>
  </si>
  <si>
    <t>5000139</t>
  </si>
  <si>
    <t>5000140</t>
  </si>
  <si>
    <t>5000110</t>
  </si>
  <si>
    <t>7300066552</t>
  </si>
  <si>
    <t>20200230</t>
  </si>
  <si>
    <t>20200231</t>
  </si>
  <si>
    <t>20JEQ001-1</t>
  </si>
  <si>
    <t>SG-MSL-12329-19</t>
  </si>
  <si>
    <t>SG-MSL-12329-20</t>
  </si>
  <si>
    <t>B7FE-20-3009-PAPE-02</t>
  </si>
  <si>
    <t>B7FE-20-3009-PAPE-03</t>
  </si>
  <si>
    <t>SG-MSL-12329-22</t>
  </si>
  <si>
    <t>SG-MSL-12329-23</t>
  </si>
  <si>
    <t>1381</t>
  </si>
  <si>
    <t>B7FE-20-3010-ZSPE</t>
  </si>
  <si>
    <t>MF-109B1/20</t>
  </si>
  <si>
    <t>MF-109B2/20</t>
  </si>
  <si>
    <t>31154</t>
  </si>
  <si>
    <t>31086</t>
  </si>
  <si>
    <t>SG-ZSL-12329-24</t>
  </si>
  <si>
    <t>2020/AL129/INV1</t>
  </si>
  <si>
    <t>F200-00042526</t>
  </si>
  <si>
    <t>F200-00042485</t>
  </si>
  <si>
    <t>220.121</t>
  </si>
  <si>
    <t>ND</t>
  </si>
  <si>
    <t>SI0020417</t>
  </si>
  <si>
    <t>F200-00042572</t>
  </si>
  <si>
    <t>MF-252/20</t>
  </si>
  <si>
    <t>MF-253/20</t>
  </si>
  <si>
    <t>MF-254/20</t>
  </si>
  <si>
    <t>MF-249A/20</t>
  </si>
  <si>
    <t>MF-249B/20</t>
  </si>
  <si>
    <t>MF-250/20</t>
  </si>
  <si>
    <t>MF-251/20</t>
  </si>
  <si>
    <t>F400-00001674</t>
  </si>
  <si>
    <t>F400-00001675</t>
  </si>
  <si>
    <t>F400-00001676</t>
  </si>
  <si>
    <t>F400-00001677</t>
  </si>
  <si>
    <t>F400-00001673</t>
  </si>
  <si>
    <t>F400-00001678</t>
  </si>
  <si>
    <t xml:space="preserve">F200-00042532 </t>
  </si>
  <si>
    <t>F200-00042585</t>
  </si>
  <si>
    <t>F200-00042586</t>
  </si>
  <si>
    <t>F200-00042589</t>
  </si>
  <si>
    <t>F200-00042587</t>
  </si>
  <si>
    <t>F200-00042574</t>
  </si>
  <si>
    <t>F200-00042573</t>
  </si>
  <si>
    <t>INDUSTRIAL NACOL</t>
  </si>
  <si>
    <t>F200-00042591</t>
  </si>
  <si>
    <t>F200-00042592</t>
  </si>
  <si>
    <t>MF-255/20</t>
  </si>
  <si>
    <t>MF-256/20</t>
  </si>
  <si>
    <t>MF-257/20</t>
  </si>
  <si>
    <t>MOLINOS &amp; CIA</t>
  </si>
  <si>
    <t>F200-00042575</t>
  </si>
  <si>
    <t>5000109</t>
  </si>
  <si>
    <t>20200250</t>
  </si>
  <si>
    <t>20200251</t>
  </si>
  <si>
    <t>20200252</t>
  </si>
  <si>
    <t>5000147</t>
  </si>
  <si>
    <t>5000168</t>
  </si>
  <si>
    <t>5462</t>
  </si>
  <si>
    <t>1467</t>
  </si>
  <si>
    <t>F200-00042604</t>
  </si>
  <si>
    <t>F200-00042593</t>
  </si>
  <si>
    <t>20200278</t>
  </si>
  <si>
    <t>20200276</t>
  </si>
  <si>
    <t>20200277</t>
  </si>
  <si>
    <t>SG-ZSL-12329-25</t>
  </si>
  <si>
    <t>5000204</t>
  </si>
  <si>
    <t>579</t>
  </si>
  <si>
    <t>MF-239.1/20</t>
  </si>
  <si>
    <t>MF-239.2/20</t>
  </si>
  <si>
    <t>MF-240.1/20</t>
  </si>
  <si>
    <t>MF-240.2/20</t>
  </si>
  <si>
    <t>FV204E000065</t>
  </si>
  <si>
    <t>MF-259/20</t>
  </si>
  <si>
    <t>MF-260/20</t>
  </si>
  <si>
    <t>MF-261/20</t>
  </si>
  <si>
    <t>MF-262/20</t>
  </si>
  <si>
    <t>MF-263/20</t>
  </si>
  <si>
    <t>MF-264/20</t>
  </si>
  <si>
    <t>MF-266A1/20</t>
  </si>
  <si>
    <t>MF-266A2/20</t>
  </si>
  <si>
    <t>MF-266B2/20</t>
  </si>
  <si>
    <t>Forfaiting al banco</t>
  </si>
  <si>
    <t>2020/AL128/INV1</t>
  </si>
  <si>
    <t>220.146</t>
  </si>
  <si>
    <t>301001478</t>
  </si>
  <si>
    <t>301001479</t>
  </si>
  <si>
    <t>F200-00042648</t>
  </si>
  <si>
    <t>F200-00042649</t>
  </si>
  <si>
    <t>F200-00042647</t>
  </si>
  <si>
    <t>F200-00042646</t>
  </si>
  <si>
    <t>F200-00042645</t>
  </si>
  <si>
    <t>MF-258.1/20</t>
  </si>
  <si>
    <t>MF-258.2/20</t>
  </si>
  <si>
    <t>MF-265A1/20</t>
  </si>
  <si>
    <t>MF-265A2/20</t>
  </si>
  <si>
    <t>MF-265A3/20</t>
  </si>
  <si>
    <t>SG-MSL-12329-26A</t>
  </si>
  <si>
    <t>SG-MSL-12329-26B</t>
  </si>
  <si>
    <t>SG-MSL-12329-26C</t>
  </si>
  <si>
    <t>MF-267.1/20</t>
  </si>
  <si>
    <t>MF-267.2/20</t>
  </si>
  <si>
    <t>MF-268.1/20</t>
  </si>
  <si>
    <t>MF-268.2/20</t>
  </si>
  <si>
    <t>MF-270.1/20</t>
  </si>
  <si>
    <t>MF-272.1/20</t>
  </si>
  <si>
    <t>MF-272.2/20</t>
  </si>
  <si>
    <t>MF-272.3/20</t>
  </si>
  <si>
    <t>MF-273.1/20</t>
  </si>
  <si>
    <t>MF-273.2/20</t>
  </si>
  <si>
    <t>MF-273.3/20</t>
  </si>
  <si>
    <t>MF-274/20</t>
  </si>
  <si>
    <t>MF-275.1/20</t>
  </si>
  <si>
    <t>MF-275.2/20</t>
  </si>
  <si>
    <t>MF-276.1/20</t>
  </si>
  <si>
    <t>MF-276.2/20</t>
  </si>
  <si>
    <t>MF-276.3/20</t>
  </si>
  <si>
    <t>MF-277/20</t>
  </si>
  <si>
    <t>CLF-346/20</t>
  </si>
  <si>
    <t>CLF-347/20</t>
  </si>
  <si>
    <t>Forfaiting - Pago al Proveedor</t>
  </si>
  <si>
    <t>F200-00042653</t>
  </si>
  <si>
    <t>F200-00042665</t>
  </si>
  <si>
    <t>F200-00042666</t>
  </si>
  <si>
    <t>F200-00042663</t>
  </si>
  <si>
    <t>F200-00042664</t>
  </si>
  <si>
    <t>MF-105/20</t>
  </si>
  <si>
    <t>5000291</t>
  </si>
  <si>
    <t>B7FE-20-3014-PAPE-01</t>
  </si>
  <si>
    <t>B7FE-20-3014-PAPE-02</t>
  </si>
  <si>
    <t>5000235</t>
  </si>
  <si>
    <t>1492</t>
  </si>
  <si>
    <t>MF-278/20</t>
  </si>
  <si>
    <t>MF-279/20</t>
  </si>
  <si>
    <t>MF-280/20</t>
  </si>
  <si>
    <t>MF-281/20</t>
  </si>
  <si>
    <t>MF-282/20</t>
  </si>
  <si>
    <t>MF-283/20</t>
  </si>
  <si>
    <t>MF-284/20</t>
  </si>
  <si>
    <t>MF-285/20</t>
  </si>
  <si>
    <t>MF-286/20</t>
  </si>
  <si>
    <t>MF-287/20</t>
  </si>
  <si>
    <t>MF-288/20</t>
  </si>
  <si>
    <t>MF-289/20</t>
  </si>
  <si>
    <t>MF-290/20</t>
  </si>
  <si>
    <t>MF-291/20</t>
  </si>
  <si>
    <t>MF-292/20</t>
  </si>
  <si>
    <t>MF-293/20</t>
  </si>
  <si>
    <t>MF-294/20</t>
  </si>
  <si>
    <t>F200-00042668</t>
  </si>
  <si>
    <t>CLF-348C/20</t>
  </si>
  <si>
    <t>F001-00011228</t>
  </si>
  <si>
    <t>CLF-348D/20</t>
  </si>
  <si>
    <t>CLF-348E/20</t>
  </si>
  <si>
    <t>SULFATO DE ZINC HEPTAHIDRATADO x 25kg MP</t>
  </si>
  <si>
    <t>CLF-352/20</t>
  </si>
  <si>
    <t>MF-295/20</t>
  </si>
  <si>
    <t>MF-296/20</t>
  </si>
  <si>
    <t>MF-297/20</t>
  </si>
  <si>
    <t>Adelanto 20%</t>
  </si>
  <si>
    <t>Adelanto 50%</t>
  </si>
  <si>
    <t>F200-00042714</t>
  </si>
  <si>
    <t>F200-00042715</t>
  </si>
  <si>
    <t>F200-00042716</t>
  </si>
  <si>
    <t>F200-00042712</t>
  </si>
  <si>
    <t>F200-00042701</t>
  </si>
  <si>
    <t>F200-00042711</t>
  </si>
  <si>
    <t>F001-00000187</t>
  </si>
  <si>
    <t>F001-00000186</t>
  </si>
  <si>
    <t>F001-00011235</t>
  </si>
  <si>
    <t>F001-00011283</t>
  </si>
  <si>
    <t>CLF-350A1/20</t>
  </si>
  <si>
    <t>F301-001079</t>
  </si>
  <si>
    <t>CLF-350A2/20</t>
  </si>
  <si>
    <t>CLF-350B1/20</t>
  </si>
  <si>
    <t>CLF-350C/20</t>
  </si>
  <si>
    <t>CLF-350D/20</t>
  </si>
  <si>
    <t>CLF-353/20</t>
  </si>
  <si>
    <t>FERTIBAGRA B21 x 25kg</t>
  </si>
  <si>
    <t>CLF-354/20</t>
  </si>
  <si>
    <t>CLF-356/20</t>
  </si>
  <si>
    <t>FELIPE SUPER K 15,5 ACID GRANEL SEMI</t>
  </si>
  <si>
    <t>CLF-357/20</t>
  </si>
  <si>
    <t>ÁCIDO CÍTRICO ANHIDRO X25KG</t>
  </si>
  <si>
    <t>CLF-358/20</t>
  </si>
  <si>
    <t>QUELATO EDTA X25KG</t>
  </si>
  <si>
    <t>DIAS</t>
  </si>
  <si>
    <t>CLF-360/20</t>
  </si>
  <si>
    <t>FECHA ENTREGA (FI-CO)</t>
  </si>
  <si>
    <t>ROM20021305-1</t>
  </si>
  <si>
    <t>ROM20021305-2</t>
  </si>
  <si>
    <t>MF-298/20</t>
  </si>
  <si>
    <t>MF-299/20</t>
  </si>
  <si>
    <t>MF-300/20</t>
  </si>
  <si>
    <t>MF-301/20</t>
  </si>
  <si>
    <t>MF-302A/20</t>
  </si>
  <si>
    <t>MF-302B/20</t>
  </si>
  <si>
    <t>MF-302C/20</t>
  </si>
  <si>
    <t>MF-302D/20</t>
  </si>
  <si>
    <t>MF-303A/20</t>
  </si>
  <si>
    <t>MF-303B/20</t>
  </si>
  <si>
    <t>MF-305/20</t>
  </si>
  <si>
    <t>MF-306A/20</t>
  </si>
  <si>
    <t>MF-306B/20</t>
  </si>
  <si>
    <t>MF-306C/20</t>
  </si>
  <si>
    <t>MF-307/20</t>
  </si>
  <si>
    <t>MF-308/20</t>
  </si>
  <si>
    <t>SULFATO FERROSO HEPTAHIDRATADO</t>
  </si>
  <si>
    <t>VALUCID PK</t>
  </si>
  <si>
    <t>SULFATO DE MAGNESIO MONOHIDRATADO GRANULAR (KIESERITA)</t>
  </si>
  <si>
    <t>F200-00042720</t>
  </si>
  <si>
    <t>F200-00042719</t>
  </si>
  <si>
    <t>F200-00042718</t>
  </si>
  <si>
    <t>F200-00042717</t>
  </si>
  <si>
    <t>F200-00042732</t>
  </si>
  <si>
    <t>MF-309/20</t>
  </si>
  <si>
    <t>MF-310/20</t>
  </si>
  <si>
    <t>MF-311/20</t>
  </si>
  <si>
    <t>2020/AL128/INV2</t>
  </si>
  <si>
    <t>B7FE-20-3014-PAPE-03</t>
  </si>
  <si>
    <t>B7FE-20-3014-PAPE-04</t>
  </si>
  <si>
    <t>F200-00042730</t>
  </si>
  <si>
    <t>F200-00042728</t>
  </si>
  <si>
    <t>F200-00042734</t>
  </si>
  <si>
    <t>FECHA ENVÍO INV (FI-CO)</t>
  </si>
  <si>
    <t>F301-001086</t>
  </si>
  <si>
    <t>F301-001081</t>
  </si>
  <si>
    <t>F002-00002811</t>
  </si>
  <si>
    <t>F001-17798</t>
  </si>
  <si>
    <t>F001-17808</t>
  </si>
  <si>
    <t>CLF-361/20</t>
  </si>
  <si>
    <t>CLF-362/20</t>
  </si>
  <si>
    <t>CLF-364.1/20</t>
  </si>
  <si>
    <t>CLF-364.2/20</t>
  </si>
  <si>
    <t>CLF-365/20</t>
  </si>
  <si>
    <t>CLF-366/20</t>
  </si>
  <si>
    <t>CLF-368/20</t>
  </si>
  <si>
    <t>CLF-369/20</t>
  </si>
  <si>
    <t>SULFATO DE MANGANESO MONOHIDRATADO x 25kg</t>
  </si>
  <si>
    <t>STOPIT X20LTS</t>
  </si>
  <si>
    <t xml:space="preserve">AMAZINC X5LT </t>
  </si>
  <si>
    <t>YARAVITA BUD BUILDER FL x 10 LT</t>
  </si>
  <si>
    <t>SULFATO FERROSO HEPTAHIDRATADO x 25kg</t>
  </si>
  <si>
    <t>MF-312/20</t>
  </si>
  <si>
    <t>MF-313A/20</t>
  </si>
  <si>
    <t>MF-313B/20</t>
  </si>
  <si>
    <t>MF-313C/20</t>
  </si>
  <si>
    <t>MF-314A/20</t>
  </si>
  <si>
    <t>MF-315A/20</t>
  </si>
  <si>
    <t>MF-316A/20</t>
  </si>
  <si>
    <t>MF-317A/20</t>
  </si>
  <si>
    <t>MF-317B/20</t>
  </si>
  <si>
    <t>IDAI COBRE X 20 LT</t>
  </si>
  <si>
    <t>F200-00042735</t>
  </si>
  <si>
    <t>F200-00042736</t>
  </si>
  <si>
    <t>F001-18024</t>
  </si>
  <si>
    <t>F200-42750</t>
  </si>
  <si>
    <t>F200-42749</t>
  </si>
  <si>
    <t>F200-42747</t>
  </si>
  <si>
    <t>FOSFATO DIAMÓNICO GRANEL</t>
  </si>
  <si>
    <t>CLF-371/20</t>
  </si>
  <si>
    <t>MF-318/20</t>
  </si>
  <si>
    <t>MF-319/20</t>
  </si>
  <si>
    <t>MF-320/20</t>
  </si>
  <si>
    <t>F301-001091</t>
  </si>
  <si>
    <t>F001-00011455</t>
  </si>
  <si>
    <t>CLF-372/20</t>
  </si>
  <si>
    <t>CLF-373/20</t>
  </si>
  <si>
    <t>CLF-374/20</t>
  </si>
  <si>
    <t>YARAVITA STOPIT x 20 LT</t>
  </si>
  <si>
    <t>CLF-375/20</t>
  </si>
  <si>
    <t>YARAVITA MAGTRAC  x 10 LT</t>
  </si>
  <si>
    <t>CLF-376/20</t>
  </si>
  <si>
    <t>YARAVITA CROP BOOST x 10 LT</t>
  </si>
  <si>
    <t>MF-325/20</t>
  </si>
  <si>
    <t>MF-327/20</t>
  </si>
  <si>
    <t>MF-330/20</t>
  </si>
  <si>
    <t>MF-331/20</t>
  </si>
  <si>
    <t>MF-332/20</t>
  </si>
  <si>
    <t>MF-333/20</t>
  </si>
  <si>
    <t>MF-334/20</t>
  </si>
  <si>
    <t>MF-335/20</t>
  </si>
  <si>
    <t>MF-336A/20</t>
  </si>
  <si>
    <t>MF-337/20</t>
  </si>
  <si>
    <t>YARA SWITZERLAND LTD</t>
  </si>
  <si>
    <t>CR - MAG BIGBAG</t>
  </si>
  <si>
    <t>SG-MSL-12329-28</t>
  </si>
  <si>
    <t>SG-MSL-12329-29</t>
  </si>
  <si>
    <t>SG-MSL-12329-30</t>
  </si>
  <si>
    <t>61-2868</t>
  </si>
  <si>
    <t>MF-321/20</t>
  </si>
  <si>
    <t>MF-322/20</t>
  </si>
  <si>
    <t>MF-323/20</t>
  </si>
  <si>
    <t>MF-324/20</t>
  </si>
  <si>
    <t>MF-266B1.1/20</t>
  </si>
  <si>
    <t>MF-266B1.2/20</t>
  </si>
  <si>
    <t>MF-271A/20</t>
  </si>
  <si>
    <t>MF-271B/20</t>
  </si>
  <si>
    <t>SG-MNL-12329-27A</t>
  </si>
  <si>
    <t>SG-MNL-12329-27B</t>
  </si>
  <si>
    <t>20201928</t>
  </si>
  <si>
    <t>5000258</t>
  </si>
  <si>
    <t>K+S</t>
  </si>
  <si>
    <t>20201953</t>
  </si>
  <si>
    <t>ROM20021433</t>
  </si>
  <si>
    <t>ROM20021328</t>
  </si>
  <si>
    <t>a la llegada</t>
  </si>
  <si>
    <t>des.de la llegada</t>
  </si>
  <si>
    <t>F001-18263</t>
  </si>
  <si>
    <t xml:space="preserve"> F200-42768</t>
  </si>
  <si>
    <t xml:space="preserve"> F200-42767</t>
  </si>
  <si>
    <t>F200-42769</t>
  </si>
  <si>
    <t>CLF-377/20</t>
  </si>
  <si>
    <t>YARAMILAS</t>
  </si>
  <si>
    <t>F400-1684</t>
  </si>
  <si>
    <t>F400-1683</t>
  </si>
  <si>
    <t>F300-3104</t>
  </si>
  <si>
    <t>MF-265A.4/20</t>
  </si>
  <si>
    <t>SG-MSL-12329-26D</t>
  </si>
  <si>
    <t>7300099485</t>
  </si>
  <si>
    <t>7300100392</t>
  </si>
  <si>
    <t>7300098638</t>
  </si>
  <si>
    <t>7300100394</t>
  </si>
  <si>
    <t>ROM20021330</t>
  </si>
  <si>
    <t>MF-269/20</t>
  </si>
  <si>
    <t>7300100391</t>
  </si>
  <si>
    <t>7300100395</t>
  </si>
  <si>
    <t>B7FE-20-3016-MNPE</t>
  </si>
  <si>
    <t>MF-326.1/20</t>
  </si>
  <si>
    <t>MF-326.2/20</t>
  </si>
  <si>
    <t>MF-338/20</t>
  </si>
  <si>
    <t>F200-00042827</t>
  </si>
  <si>
    <t>F200-00042826</t>
  </si>
  <si>
    <t>F200-00042828</t>
  </si>
  <si>
    <t>F200-00042829</t>
  </si>
  <si>
    <t>F200-00042830</t>
  </si>
  <si>
    <t>F200-00042825</t>
  </si>
  <si>
    <t>5000303</t>
  </si>
  <si>
    <t>5000304</t>
  </si>
  <si>
    <t>5000305</t>
  </si>
  <si>
    <t>MF-339/20</t>
  </si>
  <si>
    <t>MF-342/20</t>
  </si>
  <si>
    <t>MF-343/20</t>
  </si>
  <si>
    <t>MF-344/20</t>
  </si>
  <si>
    <t>días Fact.</t>
  </si>
  <si>
    <t>7300100393</t>
  </si>
  <si>
    <t>ROM20021331</t>
  </si>
  <si>
    <t>2020005</t>
  </si>
  <si>
    <t>20202022</t>
  </si>
  <si>
    <t>FV204E000105</t>
  </si>
  <si>
    <t>FECHA DE PAGO</t>
  </si>
  <si>
    <t>F200-42837</t>
  </si>
  <si>
    <t>F200-42838</t>
  </si>
  <si>
    <t>F200-42842</t>
  </si>
  <si>
    <t>F200-42839</t>
  </si>
  <si>
    <t>F200-42840</t>
  </si>
  <si>
    <t>F200-42841</t>
  </si>
  <si>
    <t>CLF-378/20</t>
  </si>
  <si>
    <t>CLF-379/20</t>
  </si>
  <si>
    <t>CLF-380/20</t>
  </si>
  <si>
    <t>CLF-381/20</t>
  </si>
  <si>
    <t>CLF-383/20</t>
  </si>
  <si>
    <t>CLF-384/20</t>
  </si>
  <si>
    <t>CLF-386/20</t>
  </si>
  <si>
    <t>CLF-387/20</t>
  </si>
  <si>
    <t>CLF-388/20</t>
  </si>
  <si>
    <t>CLF-389/20</t>
  </si>
  <si>
    <t>CLF-390/20</t>
  </si>
  <si>
    <t>CLF-391/20</t>
  </si>
  <si>
    <t>CLF-392/20</t>
  </si>
  <si>
    <t>CLF-393/20</t>
  </si>
  <si>
    <t>CLF-394/20</t>
  </si>
  <si>
    <t>CLF-395/20</t>
  </si>
  <si>
    <t>CLF-396/20</t>
  </si>
  <si>
    <t>CLF-397/20</t>
  </si>
  <si>
    <t>CLF-398/20</t>
  </si>
  <si>
    <t>CLF-399/20</t>
  </si>
  <si>
    <t>CLF-400/20</t>
  </si>
  <si>
    <t>CLF-401/20</t>
  </si>
  <si>
    <t>CLF-402/20</t>
  </si>
  <si>
    <t>CLF-403/20</t>
  </si>
  <si>
    <t>CLF-404/20</t>
  </si>
  <si>
    <t>CLF-405/20</t>
  </si>
  <si>
    <t>CLF-406/20</t>
  </si>
  <si>
    <t>CLF-407/20</t>
  </si>
  <si>
    <t>CLF-408.1/20</t>
  </si>
  <si>
    <t>CLF-408.2/20</t>
  </si>
  <si>
    <t>CLF-409/20</t>
  </si>
  <si>
    <t>CLF-410/20</t>
  </si>
  <si>
    <t>CLF-411/20</t>
  </si>
  <si>
    <t>CLF-412/20</t>
  </si>
  <si>
    <t>CLF-413/20</t>
  </si>
  <si>
    <t>CLF-414/20</t>
  </si>
  <si>
    <t>CLF-415/20</t>
  </si>
  <si>
    <t>CLF-418/20</t>
  </si>
  <si>
    <t>CLF-419/20</t>
  </si>
  <si>
    <t>CLF-420/20</t>
  </si>
  <si>
    <t>CLF-421.1/20</t>
  </si>
  <si>
    <t>CLF-421.2/20</t>
  </si>
  <si>
    <t>CLF-422/20</t>
  </si>
  <si>
    <t>CLF-423/20</t>
  </si>
  <si>
    <t>CLF-424/20</t>
  </si>
  <si>
    <t>CLF-425/20</t>
  </si>
  <si>
    <t>CLF-426/20</t>
  </si>
  <si>
    <t>CLF-427/20</t>
  </si>
  <si>
    <t>CLF-428/20</t>
  </si>
  <si>
    <t>CLF-429/20</t>
  </si>
  <si>
    <t>CLF-430/20</t>
  </si>
  <si>
    <t>CLF-431/20</t>
  </si>
  <si>
    <t>CLF-432/20</t>
  </si>
  <si>
    <t>UREA AGRÍCOLA PERLADA (46N) A GRANEL</t>
  </si>
  <si>
    <t>YARAVITA CROPLIFT BIO x 1 LT</t>
  </si>
  <si>
    <t>YARAVITA ZINTRAC 700 x 5 LT</t>
  </si>
  <si>
    <t>YARAVITA CROP BOOST x 1 LT</t>
  </si>
  <si>
    <t>YARAVITA FRUTREL x 10 LT</t>
  </si>
  <si>
    <t>YARAVITA POTASH ADVANCE x 10 LT</t>
  </si>
  <si>
    <t>YARAVITA STOPIT x 1 LT</t>
  </si>
  <si>
    <t>YARAVITA MAGTRAC x 10 LT</t>
  </si>
  <si>
    <t>YARAVITA FRUTREL x 1 LT</t>
  </si>
  <si>
    <t>YARAVITA AMAZINC x 5 LT</t>
  </si>
  <si>
    <t>YARAVITA AGRIPOTASH x 1 LT</t>
  </si>
  <si>
    <t>F001-00053252</t>
  </si>
  <si>
    <t>F001-00053237</t>
  </si>
  <si>
    <t>F200-42848</t>
  </si>
  <si>
    <t>F200-42847</t>
  </si>
  <si>
    <t>F001-18765</t>
  </si>
  <si>
    <t>F002-00002903</t>
  </si>
  <si>
    <t>NC aplicadas en las facturas F001-00011228/F001-00011235/F001-00011283</t>
  </si>
  <si>
    <t>HORTISUL</t>
  </si>
  <si>
    <t>7300073050</t>
  </si>
  <si>
    <t>F400-1701</t>
  </si>
  <si>
    <t>F400-1702</t>
  </si>
  <si>
    <t>F400-1703</t>
  </si>
  <si>
    <t>F400-1704</t>
  </si>
  <si>
    <t>F400-1705</t>
  </si>
  <si>
    <t>F400-1706</t>
  </si>
  <si>
    <t>F400-1707</t>
  </si>
  <si>
    <t>F400-1708</t>
  </si>
  <si>
    <t>F400-1709</t>
  </si>
  <si>
    <t>F400-1710</t>
  </si>
  <si>
    <t>F400-1711</t>
  </si>
  <si>
    <t>F400-1712</t>
  </si>
  <si>
    <t>20202050</t>
  </si>
  <si>
    <t>F301-001110</t>
  </si>
  <si>
    <t>CLF-385/20</t>
  </si>
  <si>
    <t>CLF-432.1/20</t>
  </si>
  <si>
    <t>CLF-433/20</t>
  </si>
  <si>
    <t>F001-00053316</t>
  </si>
  <si>
    <t>F200-42874</t>
  </si>
  <si>
    <t>F200-42885</t>
  </si>
  <si>
    <t>F200-42902</t>
  </si>
  <si>
    <t>F200-42875</t>
  </si>
  <si>
    <t>F200-42886</t>
  </si>
  <si>
    <t>F200-42903</t>
  </si>
  <si>
    <t>F200-42897</t>
  </si>
  <si>
    <t>F200-42914</t>
  </si>
  <si>
    <t>F200-42876</t>
  </si>
  <si>
    <t>F200-42904</t>
  </si>
  <si>
    <t>F200-42877</t>
  </si>
  <si>
    <t>F200-42887</t>
  </si>
  <si>
    <t>F200-42893</t>
  </si>
  <si>
    <t>F200-42905</t>
  </si>
  <si>
    <t>F200-42888</t>
  </si>
  <si>
    <t>F200-42906</t>
  </si>
  <si>
    <t>F200-42878</t>
  </si>
  <si>
    <t>F200-42879</t>
  </si>
  <si>
    <t>F200-42907</t>
  </si>
  <si>
    <t>F200-42880</t>
  </si>
  <si>
    <t>F200-42894</t>
  </si>
  <si>
    <t>F200-42908</t>
  </si>
  <si>
    <t>F200-42881</t>
  </si>
  <si>
    <t>F200-42889</t>
  </si>
  <si>
    <t>F200-42882</t>
  </si>
  <si>
    <t>F200-42890</t>
  </si>
  <si>
    <t>F200-42910</t>
  </si>
  <si>
    <t>F200-42899</t>
  </si>
  <si>
    <t>F200-42900</t>
  </si>
  <si>
    <t>F200-42896</t>
  </si>
  <si>
    <t>F200-42911</t>
  </si>
  <si>
    <t>F200-42901/F200-42884</t>
  </si>
  <si>
    <t>F200-42912</t>
  </si>
  <si>
    <t>F200-42883</t>
  </si>
  <si>
    <t>F200-42891</t>
  </si>
  <si>
    <t>F200-42895</t>
  </si>
  <si>
    <t>F200-42913</t>
  </si>
  <si>
    <t>MF-345/20</t>
  </si>
  <si>
    <t>MF-346/20</t>
  </si>
  <si>
    <t>MF-347/20</t>
  </si>
  <si>
    <t>Trade Finance (aplicar 3.25%)</t>
  </si>
  <si>
    <t>MF-304A/20</t>
  </si>
  <si>
    <t>MF-304B/20</t>
  </si>
  <si>
    <t>MF-304C/20</t>
  </si>
  <si>
    <t>MF-304D/20</t>
  </si>
  <si>
    <t>CLF-434/20</t>
  </si>
  <si>
    <t>CLF-435/20</t>
  </si>
  <si>
    <t>F200-42926</t>
  </si>
  <si>
    <t>CLF-416/20</t>
  </si>
  <si>
    <t>CLF-417/20</t>
  </si>
  <si>
    <t>YARAVITA ZINTRAC MgB x 1 LT</t>
  </si>
  <si>
    <t>YARAVITA ZINTRAC MgB x 1 LT RF</t>
  </si>
  <si>
    <t>F200-42916/F200-42915</t>
  </si>
  <si>
    <t>F200-42898</t>
  </si>
  <si>
    <t>F200-42909/F200-42933</t>
  </si>
  <si>
    <t>F200-42925</t>
  </si>
  <si>
    <t>F200-42921</t>
  </si>
  <si>
    <t>F200-42928</t>
  </si>
  <si>
    <t>CLF-382.2/20</t>
  </si>
  <si>
    <t>CLF-382.1/20</t>
  </si>
  <si>
    <t>F001-19157</t>
  </si>
  <si>
    <t>F200-42853</t>
  </si>
  <si>
    <t>F200-42927</t>
  </si>
  <si>
    <t>F200-42852</t>
  </si>
  <si>
    <t>CLF-350B2.2/20</t>
  </si>
  <si>
    <t>CLF-350B2.1/20</t>
  </si>
  <si>
    <t>F200-42962</t>
  </si>
  <si>
    <t>MF-272.1.1/20</t>
  </si>
  <si>
    <t>ROM20021437-1</t>
  </si>
  <si>
    <t>MF-272.1.2/20</t>
  </si>
  <si>
    <t>MF-328A/20</t>
  </si>
  <si>
    <t>MF-328B/20</t>
  </si>
  <si>
    <t>MF-328C/20</t>
  </si>
  <si>
    <t>MF-329A/20</t>
  </si>
  <si>
    <t>MF-329B/20</t>
  </si>
  <si>
    <t>MF-329C/20</t>
  </si>
  <si>
    <t>MF-336B.1/20</t>
  </si>
  <si>
    <t>MF-336B.2/20</t>
  </si>
  <si>
    <t>SI0003736a</t>
  </si>
  <si>
    <t>SI0003736b</t>
  </si>
  <si>
    <t>SI0003736c</t>
  </si>
  <si>
    <t>SI0003736d</t>
  </si>
  <si>
    <t>SI0003730a</t>
  </si>
  <si>
    <t>SI0003730b</t>
  </si>
  <si>
    <t>SI0003732a</t>
  </si>
  <si>
    <t>SI0003732b</t>
  </si>
  <si>
    <t>SI0003732c</t>
  </si>
  <si>
    <t>SI0003732d</t>
  </si>
  <si>
    <t>SI0003728a</t>
  </si>
  <si>
    <t>SI0003728b</t>
  </si>
  <si>
    <t>SI0003728c</t>
  </si>
  <si>
    <t>MF-348/20</t>
  </si>
  <si>
    <t>MF-349/20</t>
  </si>
  <si>
    <t>MF-350/20</t>
  </si>
  <si>
    <t>MF-351A/20</t>
  </si>
  <si>
    <t>MF-351B/20</t>
  </si>
  <si>
    <t>MF-352/20</t>
  </si>
  <si>
    <t>SI0003153</t>
  </si>
  <si>
    <t>SI0003152</t>
  </si>
  <si>
    <t>5000330</t>
  </si>
  <si>
    <t>5000331</t>
  </si>
  <si>
    <t>5000332</t>
  </si>
  <si>
    <t>F200-00042967</t>
  </si>
  <si>
    <t>20CH-40103445</t>
  </si>
  <si>
    <t>F200-00042963</t>
  </si>
  <si>
    <t>CLF-436/20</t>
  </si>
  <si>
    <t>CLF-437/20</t>
  </si>
  <si>
    <t>CLF-438/20</t>
  </si>
  <si>
    <t>CLF-439/20</t>
  </si>
  <si>
    <t>F200-42966</t>
  </si>
  <si>
    <t>Trade Finance adelanto</t>
  </si>
  <si>
    <t>Trade Finance saldo</t>
  </si>
  <si>
    <t>STL0110107356</t>
  </si>
  <si>
    <t>FORFAITING (Banco-Indagro)</t>
  </si>
  <si>
    <t>FORFAITING (Equi- Banco)</t>
  </si>
  <si>
    <t>ROM20021329</t>
  </si>
  <si>
    <t>F200-00042972</t>
  </si>
  <si>
    <t>MF-340A1/20</t>
  </si>
  <si>
    <t>MF-340A2/20</t>
  </si>
  <si>
    <t>MF-341B1/20</t>
  </si>
  <si>
    <t>MF-341B2/20</t>
  </si>
  <si>
    <t>F200-00042929</t>
  </si>
  <si>
    <t>F200-00042973</t>
  </si>
  <si>
    <t>MF-355A/20</t>
  </si>
  <si>
    <t>MF-355B/20</t>
  </si>
  <si>
    <t>MF-356A/20</t>
  </si>
  <si>
    <t>MF-357.1/20</t>
  </si>
  <si>
    <t>MF-357.2/20</t>
  </si>
  <si>
    <t>MF-358.1/20</t>
  </si>
  <si>
    <t>MF-358.2/20</t>
  </si>
  <si>
    <t>MF-358.3/20</t>
  </si>
  <si>
    <t>MF-359/20</t>
  </si>
  <si>
    <t>MF-360/20</t>
  </si>
  <si>
    <t>MF-361/20</t>
  </si>
  <si>
    <t>K+S Minerals and Agriculture GmbH</t>
  </si>
  <si>
    <t>PENDIENTE</t>
  </si>
  <si>
    <t>I-31753</t>
  </si>
  <si>
    <t>F200-42974</t>
  </si>
  <si>
    <t>F200-42975</t>
  </si>
  <si>
    <t>F001-00012078</t>
  </si>
  <si>
    <t>F200-42851</t>
  </si>
  <si>
    <t>CLF-440.1/20</t>
  </si>
  <si>
    <t>CLF-442/20</t>
  </si>
  <si>
    <t>5000340</t>
  </si>
  <si>
    <t>F200-42976</t>
  </si>
  <si>
    <t>F200-42977</t>
  </si>
  <si>
    <t>F200-42979</t>
  </si>
  <si>
    <t>F200-42978</t>
  </si>
  <si>
    <t>CASH IN ADVANCE</t>
  </si>
  <si>
    <t>CLF-443/20</t>
  </si>
  <si>
    <t>CLF-444/20</t>
  </si>
  <si>
    <t>CLF-445/20</t>
  </si>
  <si>
    <t>CLF-446/20</t>
  </si>
  <si>
    <t>UREA AGRÍCOLA GRANULADA (46N) A GRANEL</t>
  </si>
  <si>
    <t>F301-001126</t>
  </si>
  <si>
    <t>F002-00002912</t>
  </si>
  <si>
    <t>STL0110107407</t>
  </si>
  <si>
    <t>MF-362/20</t>
  </si>
  <si>
    <t>MF-363/20</t>
  </si>
  <si>
    <t>MF-364/20</t>
  </si>
  <si>
    <t>MF-365/20</t>
  </si>
  <si>
    <t>MF-366/20</t>
  </si>
  <si>
    <t>MF-371/20</t>
  </si>
  <si>
    <t>F200-00042980</t>
  </si>
  <si>
    <t>MF-381.1/20</t>
  </si>
  <si>
    <t>MF-381.2/20</t>
  </si>
  <si>
    <t>MF-382/20</t>
  </si>
  <si>
    <t>FORFAITING (Banco-TGO)</t>
  </si>
  <si>
    <t>20CH-40103595</t>
  </si>
  <si>
    <t>F200-00042849</t>
  </si>
  <si>
    <t>F301-001124</t>
  </si>
  <si>
    <t>F200-42983</t>
  </si>
  <si>
    <t>F200-42984</t>
  </si>
  <si>
    <t>F200-42985</t>
  </si>
  <si>
    <t>F200-42986</t>
  </si>
  <si>
    <t>CLF-441.1/20</t>
  </si>
  <si>
    <t>CLF-441.2/20</t>
  </si>
  <si>
    <t>CLF-449/20</t>
  </si>
  <si>
    <t>F002-00002990</t>
  </si>
  <si>
    <t>301001544</t>
  </si>
  <si>
    <t>F200-00042987</t>
  </si>
  <si>
    <t>F001-00054475</t>
  </si>
  <si>
    <t>F001-00054474</t>
  </si>
  <si>
    <t>CLF-447.1/20</t>
  </si>
  <si>
    <t>CLF-447.2/20</t>
  </si>
  <si>
    <t>CLF-448.1/20</t>
  </si>
  <si>
    <t>CLF-448.2/20</t>
  </si>
  <si>
    <t>CLF-450/20</t>
  </si>
  <si>
    <t>CLF-451.1/20</t>
  </si>
  <si>
    <t>CLF-451.2/20</t>
  </si>
  <si>
    <t>CLF-452/20</t>
  </si>
  <si>
    <t>GAVILON PERÚ</t>
  </si>
  <si>
    <t>SULFATO DE POTASIO GRANULAR x 50kg</t>
  </si>
  <si>
    <t>CLORURO DE POTASIO GRANULAR ROJO GRANEL</t>
  </si>
  <si>
    <t>F001-00054472</t>
  </si>
  <si>
    <t>F001-00054473</t>
  </si>
  <si>
    <t>5000358</t>
  </si>
  <si>
    <t>F001-54713</t>
  </si>
  <si>
    <t>F001-54765</t>
  </si>
  <si>
    <t>F001-19909</t>
  </si>
  <si>
    <t>F200-42920</t>
  </si>
  <si>
    <t>F200-42854</t>
  </si>
  <si>
    <t>F200-42922</t>
  </si>
  <si>
    <t>F200-42932</t>
  </si>
  <si>
    <t>MF-272.2.1/20</t>
  </si>
  <si>
    <t>MF-272.2.2/20</t>
  </si>
  <si>
    <t>5000371</t>
  </si>
  <si>
    <t>5000372</t>
  </si>
  <si>
    <t>5000374</t>
  </si>
  <si>
    <t>STL0110107409</t>
  </si>
  <si>
    <t>MF-367/20</t>
  </si>
  <si>
    <t>MF-368/20</t>
  </si>
  <si>
    <t>MF-369/20</t>
  </si>
  <si>
    <t>MF-370/20</t>
  </si>
  <si>
    <t>F200-00042997</t>
  </si>
  <si>
    <t>F200-00042995</t>
  </si>
  <si>
    <t>F200-00042996</t>
  </si>
  <si>
    <t>F200-00042991</t>
  </si>
  <si>
    <t>MF-372/20</t>
  </si>
  <si>
    <t>MF-373/20</t>
  </si>
  <si>
    <t>MF-374/20</t>
  </si>
  <si>
    <t>MF-375/20</t>
  </si>
  <si>
    <t>MF-376/20</t>
  </si>
  <si>
    <t>MF-377/20</t>
  </si>
  <si>
    <t>MF-378/20</t>
  </si>
  <si>
    <t>MF-379/20</t>
  </si>
  <si>
    <t>MF-380/20</t>
  </si>
  <si>
    <t>MF-383/20</t>
  </si>
  <si>
    <t>MF-384A/20</t>
  </si>
  <si>
    <t>MF-385A/20</t>
  </si>
  <si>
    <t>NITRATO DE POTASIO CRISTALIZADO ÁCIDO X25KG</t>
  </si>
  <si>
    <t>F200-00042994</t>
  </si>
  <si>
    <t>SG-MSL-12329-31A</t>
  </si>
  <si>
    <t>VP-20201102</t>
  </si>
  <si>
    <t>STL0110107408</t>
  </si>
  <si>
    <t>220.232</t>
  </si>
  <si>
    <t>7300117483</t>
  </si>
  <si>
    <t>301001549</t>
  </si>
  <si>
    <t>7300115367</t>
  </si>
  <si>
    <t>CLF-451.4/20</t>
  </si>
  <si>
    <t>F001-12267/ F001-12285</t>
  </si>
  <si>
    <t>F001-12284/F001-12264</t>
  </si>
  <si>
    <t>CLF-453/20</t>
  </si>
  <si>
    <t>CLF-454/20</t>
  </si>
  <si>
    <t>CLF-455/20</t>
  </si>
  <si>
    <t>ADITIVO N-YIELD X 1000 LT</t>
  </si>
  <si>
    <t>CLF-456.1/20</t>
  </si>
  <si>
    <t>CLF-456.2/20</t>
  </si>
  <si>
    <t>CLF-457/20</t>
  </si>
  <si>
    <t>F001-12319</t>
  </si>
  <si>
    <t>5000388</t>
  </si>
  <si>
    <t>5000389</t>
  </si>
  <si>
    <t>F200-43004</t>
  </si>
  <si>
    <t>CLF-458/20</t>
  </si>
  <si>
    <t>F001-20118</t>
  </si>
  <si>
    <t>CLF-460/20</t>
  </si>
  <si>
    <t>CLF-461/20</t>
  </si>
  <si>
    <t>EQ NPK LIQ BIO CALCIO GRANEL</t>
  </si>
  <si>
    <t>F002-00003021/F002-00003023</t>
  </si>
  <si>
    <t>CLF-462/20</t>
  </si>
  <si>
    <t>CLF-463/20</t>
  </si>
  <si>
    <t>F301-001138</t>
  </si>
  <si>
    <t>MF-358.4./20</t>
  </si>
  <si>
    <t>MF-388/20</t>
  </si>
  <si>
    <t>MF-389/20</t>
  </si>
  <si>
    <t>MF-390/20</t>
  </si>
  <si>
    <t>MF-391/20</t>
  </si>
  <si>
    <t>MF-392/20</t>
  </si>
  <si>
    <t>MF-393/20</t>
  </si>
  <si>
    <t>MF-394/20</t>
  </si>
  <si>
    <t>MF-395/20</t>
  </si>
  <si>
    <t>ÁCIDO FÚLVICO EN POLVO X25KG</t>
  </si>
  <si>
    <t>SOLINC INDUSTRIAL CO., LIMITED</t>
  </si>
  <si>
    <t>ROM20021437-2</t>
  </si>
  <si>
    <t>ROM20021438-1</t>
  </si>
  <si>
    <t>ROM20021438-2</t>
  </si>
  <si>
    <t>STL0110107438</t>
  </si>
  <si>
    <t>F200-00043003</t>
  </si>
  <si>
    <t>5000361</t>
  </si>
  <si>
    <t>SG-MSL-12329-32</t>
  </si>
  <si>
    <t>31753-C</t>
  </si>
  <si>
    <t>5000398</t>
  </si>
  <si>
    <t>STL0110107450</t>
  </si>
  <si>
    <t>CLF-464/20</t>
  </si>
  <si>
    <t>CLF-465/20</t>
  </si>
  <si>
    <t>CLF-466/20</t>
  </si>
  <si>
    <t>F301-001134</t>
  </si>
  <si>
    <t>ADELANTO APROBADO POR ERNESTO</t>
  </si>
  <si>
    <t>CLF-467/20</t>
  </si>
  <si>
    <t>CLF-469.1/20</t>
  </si>
  <si>
    <t>CLF-469.2/20</t>
  </si>
  <si>
    <t>CLF-469.3/20</t>
  </si>
  <si>
    <t>CLORURO DE POTASIO STD BLANCO &gt;62% de K2O X50KG</t>
  </si>
  <si>
    <t>CLORURO DE POTASIO STD BLANCO &gt;62% de K2O Bigbag</t>
  </si>
  <si>
    <t>CLORURO DE POTASIO STD BLANCO  &gt;62% de K2O Bigbag</t>
  </si>
  <si>
    <t>CLORURO DE POTASIO STD BLANCO  &gt;62% de K2O X50KG</t>
  </si>
  <si>
    <t>F002-00003039</t>
  </si>
  <si>
    <t>F200-43019</t>
  </si>
  <si>
    <t>301001574</t>
  </si>
  <si>
    <t>F200-43021</t>
  </si>
  <si>
    <t>F200-43022</t>
  </si>
  <si>
    <t>F200-43023</t>
  </si>
  <si>
    <t>F200-43024</t>
  </si>
  <si>
    <t>F200-43025</t>
  </si>
  <si>
    <t>F001-00055404</t>
  </si>
  <si>
    <t>F001-00055374</t>
  </si>
  <si>
    <t>F001-00055375</t>
  </si>
  <si>
    <t>F001-00055403</t>
  </si>
  <si>
    <t>F200-00043035</t>
  </si>
  <si>
    <t>F200-00043034</t>
  </si>
  <si>
    <t>CLF-469.4.1/20</t>
  </si>
  <si>
    <t>CLF-469.4.2/20</t>
  </si>
  <si>
    <t>CLF-472/20</t>
  </si>
  <si>
    <t>CLF-473.2/20</t>
  </si>
  <si>
    <t>DISAN PERU</t>
  </si>
  <si>
    <t>ANTIFOAM 1520 X200KG</t>
  </si>
  <si>
    <t>F001-10046901</t>
  </si>
  <si>
    <t>CLF-440.2/20 // CLF-459/20</t>
  </si>
  <si>
    <t>20CH-40104063</t>
  </si>
  <si>
    <t>STL0110107459</t>
  </si>
  <si>
    <t>F200-00043020</t>
  </si>
  <si>
    <t>F200-00043043</t>
  </si>
  <si>
    <t>F200-00043027</t>
  </si>
  <si>
    <t>F200-00043026</t>
  </si>
  <si>
    <t>F200-00043044</t>
  </si>
  <si>
    <t>F200-00043040</t>
  </si>
  <si>
    <t>MF-396.3/20</t>
  </si>
  <si>
    <t>CLF-473.1.1/20</t>
  </si>
  <si>
    <t>CLF-473.1.2/20</t>
  </si>
  <si>
    <t>CLF-473.1.3/20</t>
  </si>
  <si>
    <t>CLF-473.1.4/20</t>
  </si>
  <si>
    <t>CLF-473.1.5/20</t>
  </si>
  <si>
    <t>CLF-474/20</t>
  </si>
  <si>
    <t>CLF-475/20</t>
  </si>
  <si>
    <t>CLF-476/20</t>
  </si>
  <si>
    <t>CLF-478/20</t>
  </si>
  <si>
    <t>CLF-479/20</t>
  </si>
  <si>
    <t>F001-00012509</t>
  </si>
  <si>
    <t>F001-00012529</t>
  </si>
  <si>
    <t>F001-00012533</t>
  </si>
  <si>
    <t>F001-20583</t>
  </si>
  <si>
    <t>CLF-451.3.1/20</t>
  </si>
  <si>
    <t>CLF-451.3.2/20</t>
  </si>
  <si>
    <t>F001-12287</t>
  </si>
  <si>
    <t>F001-12288</t>
  </si>
  <si>
    <t>CLF-468.1/20</t>
  </si>
  <si>
    <t>CLF-468.2/20</t>
  </si>
  <si>
    <t>CLF-468.3/20</t>
  </si>
  <si>
    <t>F001-00012473/F001-00012474</t>
  </si>
  <si>
    <t>F001-00012480</t>
  </si>
  <si>
    <t>F001-00012530</t>
  </si>
  <si>
    <t>CLF-480/20</t>
  </si>
  <si>
    <t>F001-00012546</t>
  </si>
  <si>
    <t>F001-00012568</t>
  </si>
  <si>
    <t>F001-00012561/F001-00012562</t>
  </si>
  <si>
    <t>F200-43048</t>
  </si>
  <si>
    <t>F200-43047</t>
  </si>
  <si>
    <t>F200-43051</t>
  </si>
  <si>
    <t>F200-43046</t>
  </si>
  <si>
    <t>F200-43045</t>
  </si>
  <si>
    <t>F200-43050</t>
  </si>
  <si>
    <t>F200-43052</t>
  </si>
  <si>
    <t>F200-43049</t>
  </si>
  <si>
    <t>F400-1730</t>
  </si>
  <si>
    <t>YaraTera Krista MOP GRANEL</t>
  </si>
  <si>
    <t>F200-00043018</t>
  </si>
  <si>
    <t>CLF-477.1.1/20</t>
  </si>
  <si>
    <t>CLF-477.1.2/20</t>
  </si>
  <si>
    <t>CLF-477.2.1/20</t>
  </si>
  <si>
    <t>CLF-477.2.2/20</t>
  </si>
  <si>
    <t>CLF-477.3.1/20</t>
  </si>
  <si>
    <t>CLF-477.3.2/20</t>
  </si>
  <si>
    <t>CLF-477.3.3/20</t>
  </si>
  <si>
    <t>CLF-481/20</t>
  </si>
  <si>
    <t>CLF-001/21</t>
  </si>
  <si>
    <t>CLF-470.1/20</t>
  </si>
  <si>
    <t>CLF-470.2/20</t>
  </si>
  <si>
    <t>F001-20648</t>
  </si>
  <si>
    <t>CLF-477.1.3/20</t>
  </si>
  <si>
    <t>CLF-477.3.4/20</t>
  </si>
  <si>
    <t>CLF-002/21</t>
  </si>
  <si>
    <t>CLF-003/21</t>
  </si>
  <si>
    <t>F001-00012616</t>
  </si>
  <si>
    <t>F001-00012588/F001-00012589/F001-00012600</t>
  </si>
  <si>
    <t>F001-00012582</t>
  </si>
  <si>
    <t>F001-00012590</t>
  </si>
  <si>
    <t>F001-00012621</t>
  </si>
  <si>
    <t>F301-001149</t>
  </si>
  <si>
    <t>5000423</t>
  </si>
  <si>
    <t>5000426</t>
  </si>
  <si>
    <t>5000418</t>
  </si>
  <si>
    <t>MF-386/20</t>
  </si>
  <si>
    <t>MF-001/21</t>
  </si>
  <si>
    <t>MF-002/21</t>
  </si>
  <si>
    <t>MICROMAX ZN EDTA X 5KG</t>
  </si>
  <si>
    <t>CLF-004.1/21</t>
  </si>
  <si>
    <t>CLF-004.2/21</t>
  </si>
  <si>
    <t>CLF-004.3/21</t>
  </si>
  <si>
    <t>CLF-004.4/21</t>
  </si>
  <si>
    <t>F001-00012699/F001-00012700</t>
  </si>
  <si>
    <t>F001-00012684</t>
  </si>
  <si>
    <t>F001-00012609</t>
  </si>
  <si>
    <t>SG-MSL-12329-31B</t>
  </si>
  <si>
    <t>B7FE-20-3024-ZSPE</t>
  </si>
  <si>
    <t>5000442</t>
  </si>
  <si>
    <t>MF-003/21</t>
  </si>
  <si>
    <t>MF-004/21</t>
  </si>
  <si>
    <t>F200-43053</t>
  </si>
  <si>
    <t>CLF-004.5/21</t>
  </si>
  <si>
    <t>CLF-004.6/21</t>
  </si>
  <si>
    <t>CLF-004.7/21</t>
  </si>
  <si>
    <t>CLF-004.8/21</t>
  </si>
  <si>
    <t>CLF-004.9/21</t>
  </si>
  <si>
    <t>CLF-004.10/21</t>
  </si>
  <si>
    <t>CLF-005/21</t>
  </si>
  <si>
    <t>CLF-006/21</t>
  </si>
  <si>
    <t>CLF-007/21</t>
  </si>
  <si>
    <t>F001-00012709</t>
  </si>
  <si>
    <t>F001-00012722</t>
  </si>
  <si>
    <t>F001-00012728</t>
  </si>
  <si>
    <t>F001-00012714/F001-00012715</t>
  </si>
  <si>
    <t>ÁCIDO NÍTRICO 55% BIDÓN X260KG</t>
  </si>
  <si>
    <t>ÁCIDO FÓRMICO 85% IBC X1000LT</t>
  </si>
  <si>
    <t>CLORURO DE CALCIO SÓLIDO POLVO MP NAL</t>
  </si>
  <si>
    <t>CLF-008/21</t>
  </si>
  <si>
    <t>CLF-009/21</t>
  </si>
  <si>
    <t>CLF-010/21</t>
  </si>
  <si>
    <t>MEA (MONOETANOLAMINA) BIDÓN X210KG</t>
  </si>
  <si>
    <t>SULFATO DE AMONIO ESTANDAR A GRANEL</t>
  </si>
  <si>
    <t>F001-21051</t>
  </si>
  <si>
    <t>F001-00012733</t>
  </si>
  <si>
    <t>F001-00012734</t>
  </si>
  <si>
    <t>F001-00012772</t>
  </si>
  <si>
    <t>F200-43055</t>
  </si>
  <si>
    <t>F200-43056</t>
  </si>
  <si>
    <t>F200-43057</t>
  </si>
  <si>
    <t>MF-005/21</t>
  </si>
  <si>
    <t>MF-007A1.1/21</t>
  </si>
  <si>
    <t>MF-007A2/21</t>
  </si>
  <si>
    <t>MF-007B/21</t>
  </si>
  <si>
    <t>MF-008A1/21</t>
  </si>
  <si>
    <t>MF-008A2/21</t>
  </si>
  <si>
    <t>MF-008A3/21</t>
  </si>
  <si>
    <t>MF-008B1/21</t>
  </si>
  <si>
    <t>MF-008B2/21</t>
  </si>
  <si>
    <t>MF-008B3/21</t>
  </si>
  <si>
    <t>MF-011/21</t>
  </si>
  <si>
    <t>MF-012/21</t>
  </si>
  <si>
    <t>MF-013/21</t>
  </si>
  <si>
    <t>MF-014/21</t>
  </si>
  <si>
    <t>MF-018/21</t>
  </si>
  <si>
    <t>MF-019/21</t>
  </si>
  <si>
    <t>MF-020/21</t>
  </si>
  <si>
    <t>MF-021/21</t>
  </si>
  <si>
    <t>F200-43059</t>
  </si>
  <si>
    <t>PC 2.100.152</t>
  </si>
  <si>
    <t>STL0110107487</t>
  </si>
  <si>
    <t>STL0110107486</t>
  </si>
  <si>
    <t>CLF-013/21</t>
  </si>
  <si>
    <t>CLF-014/21</t>
  </si>
  <si>
    <t>CLF-015/21</t>
  </si>
  <si>
    <t>NITRATO D MAGNESIO HEXAHIDRATADO X 25 KG</t>
  </si>
  <si>
    <t>ACIDO FOSFORICO 85% BIDONES X 50 KG.</t>
  </si>
  <si>
    <t>CUSA S.A.C</t>
  </si>
  <si>
    <t>EYM</t>
  </si>
  <si>
    <t>F001-00012712</t>
  </si>
  <si>
    <t>F200-43060</t>
  </si>
  <si>
    <t>F200-43061</t>
  </si>
  <si>
    <t>F001-00012713</t>
  </si>
  <si>
    <t>F001-00012841/F001-00012842</t>
  </si>
  <si>
    <t>F002-00003109</t>
  </si>
  <si>
    <t>MF-007A1.3/21</t>
  </si>
  <si>
    <t>MF-023/21</t>
  </si>
  <si>
    <t>MF-024.1/21</t>
  </si>
  <si>
    <t>MF-024.2/21</t>
  </si>
  <si>
    <t>MF-027B/21</t>
  </si>
  <si>
    <t>MF-028C/21</t>
  </si>
  <si>
    <t>MF-029A/21</t>
  </si>
  <si>
    <t>MF-029B/21</t>
  </si>
  <si>
    <t>MF-030A/21</t>
  </si>
  <si>
    <t>MF-030B/21</t>
  </si>
  <si>
    <t>MF-031A/21</t>
  </si>
  <si>
    <t>MF-031B/21</t>
  </si>
  <si>
    <t>MF-034/21</t>
  </si>
  <si>
    <t>MF-036/21</t>
  </si>
  <si>
    <t>MF-037/21</t>
  </si>
  <si>
    <t>MF-038/21</t>
  </si>
  <si>
    <t>VALUDOR Products LLC</t>
  </si>
  <si>
    <t>SULFATO DE POTASIO SOLUBLE - SOLUSOP52</t>
  </si>
  <si>
    <t>F200-43058</t>
  </si>
  <si>
    <t>MF-040/21</t>
  </si>
  <si>
    <t>MF-039/21</t>
  </si>
  <si>
    <t>MF-033/21</t>
  </si>
  <si>
    <t>MF-026/21</t>
  </si>
  <si>
    <t>MF-025/21</t>
  </si>
  <si>
    <t>MF-022/21</t>
  </si>
  <si>
    <t>MF-017/21</t>
  </si>
  <si>
    <t>MF-016/21</t>
  </si>
  <si>
    <t>MF-015/21</t>
  </si>
  <si>
    <t>MF-272.3.1/20</t>
  </si>
  <si>
    <t>ROM20021439-1</t>
  </si>
  <si>
    <t>STL0110107521</t>
  </si>
  <si>
    <t>858</t>
  </si>
  <si>
    <t>7300140319</t>
  </si>
  <si>
    <t>CLF-004.11/21</t>
  </si>
  <si>
    <t>CLF-011.1/21</t>
  </si>
  <si>
    <t>CLF-011.2.1/21</t>
  </si>
  <si>
    <t>CLF-011.2.2/21</t>
  </si>
  <si>
    <t>CLF-011.3/21</t>
  </si>
  <si>
    <t>CLF-011.4/21</t>
  </si>
  <si>
    <t>CLF-012.1/21</t>
  </si>
  <si>
    <t>CLF-012.2/21</t>
  </si>
  <si>
    <t>CLF-012.3.1/21</t>
  </si>
  <si>
    <t>CLF-012.3.2/21</t>
  </si>
  <si>
    <t>CLF-012.4/21</t>
  </si>
  <si>
    <t>CLF-016.1/21</t>
  </si>
  <si>
    <t>CLF-016.2/21</t>
  </si>
  <si>
    <t>CLF-016.3/21</t>
  </si>
  <si>
    <t>CLF-017.1/21</t>
  </si>
  <si>
    <t>CLF-017.2/21</t>
  </si>
  <si>
    <t>INKAFERT</t>
  </si>
  <si>
    <t>F200-43066</t>
  </si>
  <si>
    <t>F001-00012910</t>
  </si>
  <si>
    <t>F001-00012937</t>
  </si>
  <si>
    <t>F010-00030305</t>
  </si>
  <si>
    <t>F010-00030306</t>
  </si>
  <si>
    <t>F010-00030307</t>
  </si>
  <si>
    <t>F010-00030308</t>
  </si>
  <si>
    <t>F010-00030309</t>
  </si>
  <si>
    <t>F010-00030310</t>
  </si>
  <si>
    <t>F010-00030311</t>
  </si>
  <si>
    <t>F010-00030312</t>
  </si>
  <si>
    <t>F002-00003132</t>
  </si>
  <si>
    <t>F037-00000079</t>
  </si>
  <si>
    <t>FP50-16643/FP50-16642</t>
  </si>
  <si>
    <t>FP50-16676/FF50-65056</t>
  </si>
  <si>
    <t>FP50-16709/FP50-16710</t>
  </si>
  <si>
    <t>F001-21340</t>
  </si>
  <si>
    <t>F001-21400</t>
  </si>
  <si>
    <t>F301-001169</t>
  </si>
  <si>
    <t>F200-43065</t>
  </si>
  <si>
    <t>F200-43064</t>
  </si>
  <si>
    <t>F200-43063</t>
  </si>
  <si>
    <t>CLF-016.4.1/21</t>
  </si>
  <si>
    <t>CLF-016.4.2/21</t>
  </si>
  <si>
    <t>CLF-018/21</t>
  </si>
  <si>
    <t>CLF-019.1/21</t>
  </si>
  <si>
    <t>CLF-019.2/21</t>
  </si>
  <si>
    <t>CLF-019.3/21</t>
  </si>
  <si>
    <t>CLF-019.4/21</t>
  </si>
  <si>
    <t>FF50-65159</t>
  </si>
  <si>
    <t>FF50-65291</t>
  </si>
  <si>
    <t>F002-00003161</t>
  </si>
  <si>
    <t>F001-00057331</t>
  </si>
  <si>
    <t>33709</t>
  </si>
  <si>
    <t>220.293</t>
  </si>
  <si>
    <t>7300151173</t>
  </si>
  <si>
    <t>5000487</t>
  </si>
  <si>
    <t>34344</t>
  </si>
  <si>
    <t>SG-MSL-12329-34A</t>
  </si>
  <si>
    <t>MF-042/21</t>
  </si>
  <si>
    <t>MF-043/21</t>
  </si>
  <si>
    <t>MF-044/21</t>
  </si>
  <si>
    <t>MF-045/21</t>
  </si>
  <si>
    <t>MF-046/21</t>
  </si>
  <si>
    <t>MF-047/21</t>
  </si>
  <si>
    <t>MF-048/21</t>
  </si>
  <si>
    <t>MF-049/21</t>
  </si>
  <si>
    <t>MF-050/21</t>
  </si>
  <si>
    <t>F200-00043069</t>
  </si>
  <si>
    <t>F200-00043070</t>
  </si>
  <si>
    <t>5000439</t>
  </si>
  <si>
    <t>CLF-019.5/21</t>
  </si>
  <si>
    <t>CLF-019.6/21</t>
  </si>
  <si>
    <t>CLF-020.1/21</t>
  </si>
  <si>
    <t>CLF-020.2/21</t>
  </si>
  <si>
    <t>F001-00057484</t>
  </si>
  <si>
    <t>F001-00057544</t>
  </si>
  <si>
    <t>F001-00057483</t>
  </si>
  <si>
    <t>F001-00057561</t>
  </si>
  <si>
    <t>CLF-011.5/21</t>
  </si>
  <si>
    <t>F010-00030970</t>
  </si>
  <si>
    <t>CLF-012.5/21</t>
  </si>
  <si>
    <t>NC F020-00000776</t>
  </si>
  <si>
    <t>Forfaiting (Equi al Banco)</t>
  </si>
  <si>
    <t>Forfaiting (Banco a Nitron)</t>
  </si>
  <si>
    <t>21CH-40100802</t>
  </si>
  <si>
    <t>MF-393-20</t>
  </si>
  <si>
    <t>F200-43071</t>
  </si>
  <si>
    <t>MF-051/21</t>
  </si>
  <si>
    <t>MF-052/21</t>
  </si>
  <si>
    <t>SACO YARATERA CALCINIT X 25KG</t>
  </si>
  <si>
    <t>7300161038</t>
  </si>
  <si>
    <t>CLF-019.7/21</t>
  </si>
  <si>
    <t>CLF-020.3/21</t>
  </si>
  <si>
    <t>CLF-021.1/21</t>
  </si>
  <si>
    <t>CLF-021.2/21</t>
  </si>
  <si>
    <t>CLF-022.1/21</t>
  </si>
  <si>
    <t>CLF-022.2/21</t>
  </si>
  <si>
    <t>CLF-023/21</t>
  </si>
  <si>
    <t>CLF-024/21</t>
  </si>
  <si>
    <t>CLF-025/21</t>
  </si>
  <si>
    <t>CLF-026/21</t>
  </si>
  <si>
    <t>CLF-027/21</t>
  </si>
  <si>
    <t>CLF-028/21</t>
  </si>
  <si>
    <t>CLF-029/21</t>
  </si>
  <si>
    <t>CLF-030.1/21</t>
  </si>
  <si>
    <t>CLF-030.2/21</t>
  </si>
  <si>
    <t>CLF-031/21</t>
  </si>
  <si>
    <t>FERTIBAGRA B15 x 25kg</t>
  </si>
  <si>
    <t>ÁCIDO FOSFÓRICO 85% IBC X1700KG</t>
  </si>
  <si>
    <t>ÁCIDO SUPERFOSFÓRICO IBC X1700KG</t>
  </si>
  <si>
    <t>UREA AGRICOLA (46-0-0) GRANEL</t>
  </si>
  <si>
    <t>NITRATO AMONIO ESTABILIZADO GRANEL</t>
  </si>
  <si>
    <t>YARALIVA CALCINIT 15-0-0-26CAO X 25KG</t>
  </si>
  <si>
    <t>SULFATO DE POTASIO SOLUBLE X1200KG</t>
  </si>
  <si>
    <t>SULFATO DE POTASIO SOLUBLE x 25kg</t>
  </si>
  <si>
    <t>SUPERFOSFATO TRIPLE – TSP X50KG</t>
  </si>
  <si>
    <t>F001-00057662</t>
  </si>
  <si>
    <t>F301-001196</t>
  </si>
  <si>
    <t>F301-001197</t>
  </si>
  <si>
    <t>F002-00003221</t>
  </si>
  <si>
    <t>F301-001198</t>
  </si>
  <si>
    <t>F200-43079</t>
  </si>
  <si>
    <t>F200-43078</t>
  </si>
  <si>
    <t>F200-43077</t>
  </si>
  <si>
    <t>F200-43076</t>
  </si>
  <si>
    <t>F200-43074</t>
  </si>
  <si>
    <t>F001-00013283</t>
  </si>
  <si>
    <t>F001-00058043</t>
  </si>
  <si>
    <t>DEX 0046/02/2021</t>
  </si>
  <si>
    <t>34470</t>
  </si>
  <si>
    <t>MF-053/21</t>
  </si>
  <si>
    <t>MF-054/21</t>
  </si>
  <si>
    <t>MF-055/21</t>
  </si>
  <si>
    <t>MF-056.1/21</t>
  </si>
  <si>
    <t>MF-057/21</t>
  </si>
  <si>
    <t>MF-058/21</t>
  </si>
  <si>
    <t>5000526</t>
  </si>
  <si>
    <t xml:space="preserve">5000525 </t>
  </si>
  <si>
    <t>306027431</t>
  </si>
  <si>
    <t>306027432</t>
  </si>
  <si>
    <t>F200-43073</t>
  </si>
  <si>
    <t>F200-43072</t>
  </si>
  <si>
    <t>STL0110107631</t>
  </si>
  <si>
    <t>10 478</t>
  </si>
  <si>
    <t>34782</t>
  </si>
  <si>
    <t>34513</t>
  </si>
  <si>
    <t>CLF-030.3/21</t>
  </si>
  <si>
    <t>CLF-030.4/21</t>
  </si>
  <si>
    <t>CLF-032.1/21</t>
  </si>
  <si>
    <t>CLF-032.2/21</t>
  </si>
  <si>
    <t>CLF-033/21</t>
  </si>
  <si>
    <t>CLF-034.1/21</t>
  </si>
  <si>
    <t>MOLIBDATO DE SODIO X25KG</t>
  </si>
  <si>
    <t>F001-00013345</t>
  </si>
  <si>
    <t>F001-00013386</t>
  </si>
  <si>
    <t>F001-00013389</t>
  </si>
  <si>
    <t>F002-00003240</t>
  </si>
  <si>
    <t>F001-22729/F001-22730</t>
  </si>
  <si>
    <t>F301-001206</t>
  </si>
  <si>
    <t>F200-43080</t>
  </si>
  <si>
    <t>F001-00057308/F001-00000119</t>
  </si>
  <si>
    <t>F001-22377</t>
  </si>
  <si>
    <t>F001-22261</t>
  </si>
  <si>
    <t>F001-22758</t>
  </si>
  <si>
    <t>F001-10049604</t>
  </si>
  <si>
    <t>20210221</t>
  </si>
  <si>
    <t>20210220</t>
  </si>
  <si>
    <t>MF-059/21</t>
  </si>
  <si>
    <t>MF-061A/21</t>
  </si>
  <si>
    <t>MF-062/21</t>
  </si>
  <si>
    <t>MF-064/21</t>
  </si>
  <si>
    <t>MF-065/21</t>
  </si>
  <si>
    <t>MF-066/21</t>
  </si>
  <si>
    <t>MF-068/21</t>
  </si>
  <si>
    <t>MF-069/21</t>
  </si>
  <si>
    <t>MF-070/21</t>
  </si>
  <si>
    <t>MF-071/21</t>
  </si>
  <si>
    <t>TIOSULFATO DE CALCIO</t>
  </si>
  <si>
    <t>5000543</t>
  </si>
  <si>
    <t>MF-067/21</t>
  </si>
  <si>
    <t>7300169187</t>
  </si>
  <si>
    <t>POR CONFIRMAR PRECIO</t>
  </si>
  <si>
    <t>CLF-035.1/21</t>
  </si>
  <si>
    <t>CLF-035.2/21</t>
  </si>
  <si>
    <t>CLF-036.1/21</t>
  </si>
  <si>
    <t>CLF-036.2/21</t>
  </si>
  <si>
    <t>CLF-037.1/21</t>
  </si>
  <si>
    <t>CLF-037.2/21</t>
  </si>
  <si>
    <t>CLF-038.1/21</t>
  </si>
  <si>
    <t>CLF-038.2/21</t>
  </si>
  <si>
    <t>CLF-039.1/21</t>
  </si>
  <si>
    <t>CLF-039.2/21</t>
  </si>
  <si>
    <t>CLF-040/21</t>
  </si>
  <si>
    <t>CLF-041/21</t>
  </si>
  <si>
    <t>CLF-042/21</t>
  </si>
  <si>
    <t>CLF-043/21</t>
  </si>
  <si>
    <t>CERES PERU S.A.</t>
  </si>
  <si>
    <t>F002-00003283</t>
  </si>
  <si>
    <t>FORFAITING (Equi-Banco)</t>
  </si>
  <si>
    <t>CLF-044/21</t>
  </si>
  <si>
    <t>CLF-045/21</t>
  </si>
  <si>
    <t>NITRATO DE AMONIO ESTABILIZADO A GRANEL</t>
  </si>
  <si>
    <t>F101-00001595/ NC F101-00000116</t>
  </si>
  <si>
    <t>F101-00001596/ NC F101-00000117</t>
  </si>
  <si>
    <t>F001-23250</t>
  </si>
  <si>
    <t>306028226</t>
  </si>
  <si>
    <t>306028227</t>
  </si>
  <si>
    <t>306028228</t>
  </si>
  <si>
    <t>CLF-040.1/21</t>
  </si>
  <si>
    <t>CLF-046/21</t>
  </si>
  <si>
    <t>CLF-047/21</t>
  </si>
  <si>
    <t>TQC S.A.</t>
  </si>
  <si>
    <t>SULFATO DE AMONIO MARRÓN GRANEL</t>
  </si>
  <si>
    <t>ALTO X 1L</t>
  </si>
  <si>
    <t>F001-00058727 / NC F001-00000123</t>
  </si>
  <si>
    <t>F001-00058816</t>
  </si>
  <si>
    <t>F001-00058961</t>
  </si>
  <si>
    <t>F301-001212</t>
  </si>
  <si>
    <t>F301-001214</t>
  </si>
  <si>
    <t>F001-60653</t>
  </si>
  <si>
    <t>F001-00013601</t>
  </si>
  <si>
    <t>F001-00058834</t>
  </si>
  <si>
    <t>F001-00058964</t>
  </si>
  <si>
    <t>F001-60952</t>
  </si>
  <si>
    <t>FF50-67324</t>
  </si>
  <si>
    <t>F002-00003299</t>
  </si>
  <si>
    <t>F001-23418</t>
  </si>
  <si>
    <t>1er Pago</t>
  </si>
  <si>
    <t>2do Pago</t>
  </si>
  <si>
    <t>MF-074/21</t>
  </si>
  <si>
    <t>MF-075/21</t>
  </si>
  <si>
    <t>MF-081/21</t>
  </si>
  <si>
    <t>MF-082/21</t>
  </si>
  <si>
    <t>MF-083/21</t>
  </si>
  <si>
    <t>MF-076/21</t>
  </si>
  <si>
    <t>MF-077/21</t>
  </si>
  <si>
    <t>MF-078/21</t>
  </si>
  <si>
    <t>MF-079/21</t>
  </si>
  <si>
    <t>MF-080/21</t>
  </si>
  <si>
    <t>STL0110107710</t>
  </si>
  <si>
    <t>MF-072/21</t>
  </si>
  <si>
    <t>MF-073/21</t>
  </si>
  <si>
    <t>35018</t>
  </si>
  <si>
    <t>34825</t>
  </si>
  <si>
    <t>35100</t>
  </si>
  <si>
    <t>34826</t>
  </si>
  <si>
    <t>35128</t>
  </si>
  <si>
    <t>7300185845</t>
  </si>
  <si>
    <t>MF-028B1/21</t>
  </si>
  <si>
    <t>MF-028B2/21</t>
  </si>
  <si>
    <t>MF-028B3/21</t>
  </si>
  <si>
    <t>5000557</t>
  </si>
  <si>
    <t>SLC-MGN210202</t>
  </si>
  <si>
    <t>7300179933</t>
  </si>
  <si>
    <t>20210152</t>
  </si>
  <si>
    <t>F200-43081</t>
  </si>
  <si>
    <t>F200-43083</t>
  </si>
  <si>
    <t>NC F400-1725</t>
  </si>
  <si>
    <t>NC F400-1726</t>
  </si>
  <si>
    <t>MF-084/21</t>
  </si>
  <si>
    <t>YARATERA REXOLIN ZN X 5KG</t>
  </si>
  <si>
    <t>NC F400-1749</t>
  </si>
  <si>
    <t>NC SE APLICA A LA FACTURA F200-42883</t>
  </si>
  <si>
    <t>I-34198</t>
  </si>
  <si>
    <t>MF-035.1/21</t>
  </si>
  <si>
    <t>MF-085/21</t>
  </si>
  <si>
    <t>MF-086/21</t>
  </si>
  <si>
    <t>MF-087/21</t>
  </si>
  <si>
    <t>7300189567</t>
  </si>
  <si>
    <t>VP-20210405</t>
  </si>
  <si>
    <t>35261</t>
  </si>
  <si>
    <t>SG-MSL-12329-35</t>
  </si>
  <si>
    <t>REFERENCIA</t>
  </si>
  <si>
    <t xml:space="preserve">PTO LLEGADA </t>
  </si>
  <si>
    <t>ETA APROX</t>
  </si>
  <si>
    <t>FECHA PAGO DAM  (aprox)</t>
  </si>
  <si>
    <t>INCOTERM</t>
  </si>
  <si>
    <t>CFR TOTAL</t>
  </si>
  <si>
    <t>SEGURO</t>
  </si>
  <si>
    <t>VALOR AD.</t>
  </si>
  <si>
    <t>IPM</t>
  </si>
  <si>
    <t>IGV</t>
  </si>
  <si>
    <t>PERCEPCIÓN</t>
  </si>
  <si>
    <t>ESTADO</t>
  </si>
  <si>
    <t>Tiosulfato de Calcio</t>
  </si>
  <si>
    <t>MF-012A1/19</t>
  </si>
  <si>
    <t>MF-012A2/19</t>
  </si>
  <si>
    <t>MF-025/19</t>
  </si>
  <si>
    <t>LUEGO COLOR, SLU</t>
  </si>
  <si>
    <t>MF-003A/19</t>
  </si>
  <si>
    <t>SINOMECTINA 18EC X 1 LT</t>
  </si>
  <si>
    <t>MF-003B/19</t>
  </si>
  <si>
    <t>SINOMECTINA 18EC X 250 ML</t>
  </si>
  <si>
    <t>MF-003C/19</t>
  </si>
  <si>
    <t>SINODIFE 250 EC X 1 LT</t>
  </si>
  <si>
    <t>MF-003D/19</t>
  </si>
  <si>
    <t>SINOCLOPRID 350 SC X 1 LT</t>
  </si>
  <si>
    <t>MF-003E/19</t>
  </si>
  <si>
    <t>SINOCLOPRID 350 SC X 250 ML</t>
  </si>
  <si>
    <t>MF-003F/19</t>
  </si>
  <si>
    <t>SINOCLOPRID 350 SC X 200 LTS</t>
  </si>
  <si>
    <t>MF-003G/19</t>
  </si>
  <si>
    <t>SINOFENURON 50 EC X 1 LT</t>
  </si>
  <si>
    <t>MF-003H/19</t>
  </si>
  <si>
    <t>SINOCONAZOLE 250 EW X 1 LT</t>
  </si>
  <si>
    <t>MF-003I/19</t>
  </si>
  <si>
    <t>SINOFENURON 50 EC X 250 ML</t>
  </si>
  <si>
    <t>MF-003J/19</t>
  </si>
  <si>
    <t>WENTUN 500 WG X 100GR</t>
  </si>
  <si>
    <t>MF-003K/19</t>
  </si>
  <si>
    <t>KALKUS 250 WG X 100 GR</t>
  </si>
  <si>
    <t>MF-003L/19</t>
  </si>
  <si>
    <t>ADENTU 50 SG X 100 GR</t>
  </si>
  <si>
    <t>MF-003M/19</t>
  </si>
  <si>
    <t>ANTAZIMA 500 SC X 1 LT</t>
  </si>
  <si>
    <t>MF-003N/19</t>
  </si>
  <si>
    <t>ANTHODIM 120 EC X 1 LT</t>
  </si>
  <si>
    <t>MF-003Ñ/19</t>
  </si>
  <si>
    <t>FITHOPLAY 200 SC X 1 LT</t>
  </si>
  <si>
    <t>MF-003O/19</t>
  </si>
  <si>
    <t>FITHOPLAY 200 SC X 250 ML</t>
  </si>
  <si>
    <t>MF-003P/19</t>
  </si>
  <si>
    <t>IPROL 500 WP X 200 GR</t>
  </si>
  <si>
    <t>MF-003Q/19</t>
  </si>
  <si>
    <t>PYRIPOD 400 SC X 200 ML</t>
  </si>
  <si>
    <t>MF-003R/19</t>
  </si>
  <si>
    <t>ANTAMETRINA X 1 LT</t>
  </si>
  <si>
    <t>MF-003S/19</t>
  </si>
  <si>
    <t>ANTAMETRINA X 250 ML</t>
  </si>
  <si>
    <t>NITRATO DE CALCIO</t>
  </si>
  <si>
    <t>MF-057/20</t>
  </si>
  <si>
    <t>MF-028A/20</t>
  </si>
  <si>
    <t>MF-028B/20</t>
  </si>
  <si>
    <t>MF-028C/20</t>
  </si>
  <si>
    <t>MF-265A.1/20</t>
  </si>
  <si>
    <t>MF-265A.2/20</t>
  </si>
  <si>
    <t>MF-265A.3/20</t>
  </si>
  <si>
    <t>MF-004.1/21</t>
  </si>
  <si>
    <t>pdt confirmación de nuevo ETA</t>
  </si>
  <si>
    <t>STL0110107772</t>
  </si>
  <si>
    <t>CLF-048.1/21</t>
  </si>
  <si>
    <t>CLF-048.2/21</t>
  </si>
  <si>
    <t>CLF-048.3/21</t>
  </si>
  <si>
    <t>CLF-048.4/21</t>
  </si>
  <si>
    <t>CLF-048.5/21</t>
  </si>
  <si>
    <t>CLF-049.1/21</t>
  </si>
  <si>
    <t>CLF-049.2/21</t>
  </si>
  <si>
    <t>CLF-049.3/21</t>
  </si>
  <si>
    <t>CLF-050.1/21</t>
  </si>
  <si>
    <t>CLF-050.2/21</t>
  </si>
  <si>
    <t>CLF-050.3/21</t>
  </si>
  <si>
    <t>SULFATO DE MAGNESIO HEPTAHIDRATADO x 25kg</t>
  </si>
  <si>
    <t>F001-61887/F001-61888/F001-61889/F001-61929/F001-61932</t>
  </si>
  <si>
    <t>F001-61963/F001-61975/F001-61984</t>
  </si>
  <si>
    <t>F001-61891</t>
  </si>
  <si>
    <t>F001-61967/F001-61968/F001-61944/F001-61945/F001-61947/F001-61980</t>
  </si>
  <si>
    <t>F001-61987/F001-61988/F001-61989</t>
  </si>
  <si>
    <t>CLF-051.1/21</t>
  </si>
  <si>
    <t>CLF-052.1/21</t>
  </si>
  <si>
    <t>CLF-052.2/21</t>
  </si>
  <si>
    <t>CLF-051.2/21</t>
  </si>
  <si>
    <t>CLF-049.4/21</t>
  </si>
  <si>
    <t>CLF-049.5/21</t>
  </si>
  <si>
    <t>CLF-050.4/21</t>
  </si>
  <si>
    <t>CLF-050.5/21</t>
  </si>
  <si>
    <t>CLF-050.6/21</t>
  </si>
  <si>
    <t>CLF-050.7/21</t>
  </si>
  <si>
    <t>CLF-053/21</t>
  </si>
  <si>
    <t>CLF-054/21</t>
  </si>
  <si>
    <t>CLF-055/21</t>
  </si>
  <si>
    <t>CLF-056/21</t>
  </si>
  <si>
    <t>CLF-057/21</t>
  </si>
  <si>
    <t>F001-24180/F001-24181/F001-24182</t>
  </si>
  <si>
    <t>F001-24195/F001-24196/F001-24197</t>
  </si>
  <si>
    <t>F001-24222/F001-24223</t>
  </si>
  <si>
    <t>F001-00013904/F001-00013900/F001-00013901</t>
  </si>
  <si>
    <t>F001-00013907/F001-00013912/F001-00013913</t>
  </si>
  <si>
    <t>F001-00013921/F001-00013926</t>
  </si>
  <si>
    <t>F001-00013929/F001-00013942/F001-00013944</t>
  </si>
  <si>
    <t>F001-00013947/F001-00013952</t>
  </si>
  <si>
    <t>F001-00013959/F001-00013963/F001-00013973</t>
  </si>
  <si>
    <t>F002-00003380</t>
  </si>
  <si>
    <t>F001-10050930</t>
  </si>
  <si>
    <t>F001-24194</t>
  </si>
  <si>
    <t>CLF-058/21</t>
  </si>
  <si>
    <t>CLF-059/21</t>
  </si>
  <si>
    <t>CLF-060/21</t>
  </si>
  <si>
    <t>CLF-061/21</t>
  </si>
  <si>
    <t>YARABELA NITROMAG X50KG</t>
  </si>
  <si>
    <t>QUIMPAC SA</t>
  </si>
  <si>
    <t>F001-24318</t>
  </si>
  <si>
    <t>F001-24278</t>
  </si>
  <si>
    <t>F006-00000740</t>
  </si>
  <si>
    <t>F002-00003391</t>
  </si>
  <si>
    <t>F001-24254/F001-24255</t>
  </si>
  <si>
    <t>F001-24279</t>
  </si>
  <si>
    <t>F101 - 00001701</t>
  </si>
  <si>
    <t>F200-43108</t>
  </si>
  <si>
    <t>F200-43109</t>
  </si>
  <si>
    <t>F200-43094</t>
  </si>
  <si>
    <t>F200-43095</t>
  </si>
  <si>
    <t>F200-43106</t>
  </si>
  <si>
    <t>F200-43107</t>
  </si>
  <si>
    <t>F200-43092</t>
  </si>
  <si>
    <t>MF-088/21</t>
  </si>
  <si>
    <t>MF-090/21</t>
  </si>
  <si>
    <t>MF-091/21</t>
  </si>
  <si>
    <t>MF-093/21</t>
  </si>
  <si>
    <t>MF-094/21</t>
  </si>
  <si>
    <t>MF-095/21</t>
  </si>
  <si>
    <t>MF-097/21</t>
  </si>
  <si>
    <t>MF-099/21</t>
  </si>
  <si>
    <t>MF-100/21</t>
  </si>
  <si>
    <t>MF-101.1/21</t>
  </si>
  <si>
    <t>MF-101.2/21</t>
  </si>
  <si>
    <t>MF-102/21</t>
  </si>
  <si>
    <t>MF-103/21</t>
  </si>
  <si>
    <t>MF-104/21</t>
  </si>
  <si>
    <t>MF-105/21</t>
  </si>
  <si>
    <t>MF-107/21</t>
  </si>
  <si>
    <t>MF-109/21</t>
  </si>
  <si>
    <t>MF-110/21</t>
  </si>
  <si>
    <t>MF-111/21</t>
  </si>
  <si>
    <t>MF-112/21</t>
  </si>
  <si>
    <t>MF-113/21</t>
  </si>
  <si>
    <t>MF-116/21</t>
  </si>
  <si>
    <t>MF-117/21</t>
  </si>
  <si>
    <t>YARAMILA TRISTAR NKP 15-15-15 X50KG</t>
  </si>
  <si>
    <t>F200-43088</t>
  </si>
  <si>
    <t>F200-43093</t>
  </si>
  <si>
    <t>F200-43105</t>
  </si>
  <si>
    <t>MF-108/21</t>
  </si>
  <si>
    <t>PPC ADOB</t>
  </si>
  <si>
    <t>306028792</t>
  </si>
  <si>
    <t>MF-120/21</t>
  </si>
  <si>
    <t>MF-121/21</t>
  </si>
  <si>
    <t>Pago Adelantado</t>
  </si>
  <si>
    <t>5000573</t>
  </si>
  <si>
    <t>5000612</t>
  </si>
  <si>
    <t>5000611</t>
  </si>
  <si>
    <t>5000610</t>
  </si>
  <si>
    <t>MF-060.1/21</t>
  </si>
  <si>
    <t>MF-060.2/21</t>
  </si>
  <si>
    <t>MF-063.1/21</t>
  </si>
  <si>
    <t>MF-063.2/21</t>
  </si>
  <si>
    <t>306028939</t>
  </si>
  <si>
    <t>MF-101.1.1/21</t>
  </si>
  <si>
    <t>MF-101.2.1/21</t>
  </si>
  <si>
    <t>MF-118/21</t>
  </si>
  <si>
    <t>MF-119/21</t>
  </si>
  <si>
    <t>MF-035.2/21</t>
  </si>
  <si>
    <t>35893</t>
  </si>
  <si>
    <t>MF-027A.1/21</t>
  </si>
  <si>
    <t>MF-027A.2/21</t>
  </si>
  <si>
    <t>B7FE-21-3031-MNPE</t>
  </si>
  <si>
    <t>MF-122A/21</t>
  </si>
  <si>
    <t>MF-122B/21</t>
  </si>
  <si>
    <t>247/2021</t>
  </si>
  <si>
    <t>CLF-062A.1/21</t>
  </si>
  <si>
    <t>CLF-062A.2/21</t>
  </si>
  <si>
    <t>CLF-062A.3/21</t>
  </si>
  <si>
    <t>CLF-062A.4/21</t>
  </si>
  <si>
    <t>CLF-062A.5/21</t>
  </si>
  <si>
    <t>CLF-062B.1/21</t>
  </si>
  <si>
    <t>CLF-062B.2/21</t>
  </si>
  <si>
    <t>CLF-062B.3/21</t>
  </si>
  <si>
    <t>CLF-063/21</t>
  </si>
  <si>
    <t>CLF-064.1/21</t>
  </si>
  <si>
    <t>CLF-064.2/21</t>
  </si>
  <si>
    <t>CLF-065.1/21</t>
  </si>
  <si>
    <t>CLF-065.2/21</t>
  </si>
  <si>
    <t>CLF-066/21</t>
  </si>
  <si>
    <t>CLF-067.1/21</t>
  </si>
  <si>
    <t>CLF-067.2/21</t>
  </si>
  <si>
    <t>CLF-067.3/21</t>
  </si>
  <si>
    <t>CLF-067.4/21</t>
  </si>
  <si>
    <t>CLF-068/21</t>
  </si>
  <si>
    <t>SULFATO DE ZINC HEPTAHIDRATADO x 25kg</t>
  </si>
  <si>
    <t>F001-00014052/F001-00014053/F001-00014054/F001-00014063</t>
  </si>
  <si>
    <t>F001-00014067/F001-00014070</t>
  </si>
  <si>
    <t>F001-00014080</t>
  </si>
  <si>
    <t>F001-00014093</t>
  </si>
  <si>
    <t>F001-00014101/F001-00014109</t>
  </si>
  <si>
    <t>F001-00014073</t>
  </si>
  <si>
    <t>F001-00014074</t>
  </si>
  <si>
    <t>F001-00014076/F001-00014078/F001-00014079</t>
  </si>
  <si>
    <t>F001-00014147</t>
  </si>
  <si>
    <t>F001-00014156</t>
  </si>
  <si>
    <t>F001-24880</t>
  </si>
  <si>
    <t>F001-00014141/F001-00014133</t>
  </si>
  <si>
    <t>F001-24850</t>
  </si>
  <si>
    <t>F001-24878/F001-24879</t>
  </si>
  <si>
    <t>F001-10051386</t>
  </si>
  <si>
    <t>F001-24639</t>
  </si>
  <si>
    <t>F001-24803</t>
  </si>
  <si>
    <t>FN01-0125298</t>
  </si>
  <si>
    <t>NC F400-1745</t>
  </si>
  <si>
    <t>NC F400-1748</t>
  </si>
  <si>
    <t>F200-43123</t>
  </si>
  <si>
    <t>F200-43115</t>
  </si>
  <si>
    <t>CLF-069.1/21</t>
  </si>
  <si>
    <t>F001-25053</t>
  </si>
  <si>
    <t>CLF-069.2/21</t>
  </si>
  <si>
    <t>F001-25052</t>
  </si>
  <si>
    <t>CLF-070/21</t>
  </si>
  <si>
    <t>F002-00003460</t>
  </si>
  <si>
    <t>F001-25054</t>
  </si>
  <si>
    <t>F001-24913</t>
  </si>
  <si>
    <t>F001-24912</t>
  </si>
  <si>
    <t>MF-028A1/21</t>
  </si>
  <si>
    <t>MF-028A2/21</t>
  </si>
  <si>
    <t>5000653</t>
  </si>
  <si>
    <t>5000654</t>
  </si>
  <si>
    <t>F200-43128</t>
  </si>
  <si>
    <t>F200-43126</t>
  </si>
  <si>
    <t>F200-43127</t>
  </si>
  <si>
    <t>F200-43110</t>
  </si>
  <si>
    <t>F200-43116</t>
  </si>
  <si>
    <t>F200-43130</t>
  </si>
  <si>
    <t>F200-43131</t>
  </si>
  <si>
    <t>306029252</t>
  </si>
  <si>
    <t>MF-123/21</t>
  </si>
  <si>
    <t>MF-124.1/21</t>
  </si>
  <si>
    <t>MF-124.2/21</t>
  </si>
  <si>
    <t>MF-125/21</t>
  </si>
  <si>
    <t>MF-128/21</t>
  </si>
  <si>
    <t>MF-129/21</t>
  </si>
  <si>
    <t>MF-131/21</t>
  </si>
  <si>
    <t>MF-134/21</t>
  </si>
  <si>
    <t>MF-135/21</t>
  </si>
  <si>
    <t xml:space="preserve">YARAVITA ZINTRAC </t>
  </si>
  <si>
    <t>NORBRIGHT</t>
  </si>
  <si>
    <t>F200-43117</t>
  </si>
  <si>
    <t>F200-43129</t>
  </si>
  <si>
    <t>CLF-071/21</t>
  </si>
  <si>
    <t>CLF-072/21</t>
  </si>
  <si>
    <t>CLF-073.1/21</t>
  </si>
  <si>
    <t>CLF-073.2/21</t>
  </si>
  <si>
    <t>MF-136A1/21</t>
  </si>
  <si>
    <t>MF-136A2/21</t>
  </si>
  <si>
    <t>24/06 85,850  - 07/07  45,450USD</t>
  </si>
  <si>
    <t>MF-394-20</t>
  </si>
  <si>
    <t>36112</t>
  </si>
  <si>
    <t>5000655</t>
  </si>
  <si>
    <t>5000656</t>
  </si>
  <si>
    <t>60356</t>
  </si>
  <si>
    <t>59310</t>
  </si>
  <si>
    <t>SG-MNL-12329-37</t>
  </si>
  <si>
    <t>F200-43114</t>
  </si>
  <si>
    <t>F200-43118</t>
  </si>
  <si>
    <t>MF-106/21</t>
  </si>
  <si>
    <t>STL0110107929</t>
  </si>
  <si>
    <t>F001-25272</t>
  </si>
  <si>
    <t>F200-43135</t>
  </si>
  <si>
    <t>CLF-074.2/21</t>
  </si>
  <si>
    <t>CLF-075.3/21</t>
  </si>
  <si>
    <t>CLF-076.2/21</t>
  </si>
  <si>
    <t>CLF-077/21</t>
  </si>
  <si>
    <t>CLF-078/21</t>
  </si>
  <si>
    <t>F200-43136</t>
  </si>
  <si>
    <t>F002-00003506</t>
  </si>
  <si>
    <t>CLF-079/21</t>
  </si>
  <si>
    <t>CLF-81/21</t>
  </si>
  <si>
    <t>BIOTRAC</t>
  </si>
  <si>
    <t>CLF-074A.1/21</t>
  </si>
  <si>
    <t>CLF-074A.2/21</t>
  </si>
  <si>
    <t>F002-00003498</t>
  </si>
  <si>
    <t>MF-396.1.1/20</t>
  </si>
  <si>
    <t>MF-396.1.2/20</t>
  </si>
  <si>
    <t>MF-396.2.1/20</t>
  </si>
  <si>
    <t>MF-009.1/21</t>
  </si>
  <si>
    <t>MF-098.1/21</t>
  </si>
  <si>
    <t>11 301</t>
  </si>
  <si>
    <t>36554</t>
  </si>
  <si>
    <t>MF-092.1/21</t>
  </si>
  <si>
    <t>MF-092.2/21</t>
  </si>
  <si>
    <t>MF-140/21</t>
  </si>
  <si>
    <t>MF-143/21</t>
  </si>
  <si>
    <t>MF-144/21</t>
  </si>
  <si>
    <t>MF-145/21</t>
  </si>
  <si>
    <t>MF-146/21</t>
  </si>
  <si>
    <t>MF-141/21</t>
  </si>
  <si>
    <t>F200-43139</t>
  </si>
  <si>
    <t>F200-43133</t>
  </si>
  <si>
    <t>F301-001286</t>
  </si>
  <si>
    <t>F301-001287</t>
  </si>
  <si>
    <t>CLF-075.1.2/21</t>
  </si>
  <si>
    <t>F301-001293</t>
  </si>
  <si>
    <t>CLF-075.1.3/21</t>
  </si>
  <si>
    <t>CLF-075.1.4/21</t>
  </si>
  <si>
    <t>CLF-075.1.1/21</t>
  </si>
  <si>
    <t>CLF-075.2.1/21</t>
  </si>
  <si>
    <t>CLF-075.2.2/21</t>
  </si>
  <si>
    <t>CLF-075.2.3/21</t>
  </si>
  <si>
    <t>F301-001297</t>
  </si>
  <si>
    <t>F301-001288</t>
  </si>
  <si>
    <t>CLF-076.1.1/21</t>
  </si>
  <si>
    <t>CLF-076.1.2/21</t>
  </si>
  <si>
    <t>F001-25747</t>
  </si>
  <si>
    <t>FN01-0127255</t>
  </si>
  <si>
    <t>F301-001294</t>
  </si>
  <si>
    <t>CLF-82A.3/21</t>
  </si>
  <si>
    <t>CLF-82A.4/21</t>
  </si>
  <si>
    <t>F200-43143</t>
  </si>
  <si>
    <t>MF-126.1/21</t>
  </si>
  <si>
    <t>MF.126.2/21</t>
  </si>
  <si>
    <t>F200-43144</t>
  </si>
  <si>
    <t>F200-43148</t>
  </si>
  <si>
    <t>F200-43141</t>
  </si>
  <si>
    <t>5000691</t>
  </si>
  <si>
    <t>5000692</t>
  </si>
  <si>
    <t>5000693</t>
  </si>
  <si>
    <t>SG-ZSL-12329-38</t>
  </si>
  <si>
    <t>SLC-MGN210202B</t>
  </si>
  <si>
    <t>CLF-084.1/21</t>
  </si>
  <si>
    <t>CLF-084.2/21</t>
  </si>
  <si>
    <t>CLF-084.3/21</t>
  </si>
  <si>
    <t>CLF-084.4/21</t>
  </si>
  <si>
    <t>CLF-084.5/21</t>
  </si>
  <si>
    <t>221.186</t>
  </si>
  <si>
    <t>F200-43145</t>
  </si>
  <si>
    <t>B7FE-21-3030-MNPE</t>
  </si>
  <si>
    <t>SG-MSL-12329-33</t>
  </si>
  <si>
    <t>SG-MNL-12329-36</t>
  </si>
  <si>
    <t>SG-MSL-12329-39</t>
  </si>
  <si>
    <t>CLF-82A.1.1/21</t>
  </si>
  <si>
    <t>CLF-82A.1.2/21</t>
  </si>
  <si>
    <t>F001-25963</t>
  </si>
  <si>
    <t>1040 lts</t>
  </si>
  <si>
    <t>CLF-085.1/21</t>
  </si>
  <si>
    <t>CLF-085.2/21</t>
  </si>
  <si>
    <t>CLF-085.3/21</t>
  </si>
  <si>
    <t>CLF-085.4/21</t>
  </si>
  <si>
    <t>CLF-085.5/21</t>
  </si>
  <si>
    <t>CLF-086/21</t>
  </si>
  <si>
    <t>CLORURO D POTASIO GRANULAR ROJO GRANEL</t>
  </si>
  <si>
    <t>F001-00061291</t>
  </si>
  <si>
    <t>F001-00061292</t>
  </si>
  <si>
    <t>F001-00061293</t>
  </si>
  <si>
    <t>F001-00061294</t>
  </si>
  <si>
    <t>F200-43153</t>
  </si>
  <si>
    <t>F200-43152</t>
  </si>
  <si>
    <t>5000711</t>
  </si>
  <si>
    <t>F002-00003528</t>
  </si>
  <si>
    <t>F001-00014709</t>
  </si>
  <si>
    <t>F002-00003542</t>
  </si>
  <si>
    <t>CLF-083.1/21</t>
  </si>
  <si>
    <t>CLF-083.2/21</t>
  </si>
  <si>
    <t>F001-00061366</t>
  </si>
  <si>
    <t>CLF-87/21</t>
  </si>
  <si>
    <t>FUNGISULF DP 400</t>
  </si>
  <si>
    <t>MF-130.1/21</t>
  </si>
  <si>
    <t>MF-130.2/21</t>
  </si>
  <si>
    <t>MF-130.3/21</t>
  </si>
  <si>
    <t>F200-43147</t>
  </si>
  <si>
    <t>F200-43146</t>
  </si>
  <si>
    <t>F200-43155</t>
  </si>
  <si>
    <t>MF-127/21</t>
  </si>
  <si>
    <t>SG-MSL-12329-34B</t>
  </si>
  <si>
    <t>36912</t>
  </si>
  <si>
    <t>5000704</t>
  </si>
  <si>
    <t>306029805</t>
  </si>
  <si>
    <t>306029806</t>
  </si>
  <si>
    <t>MF-136B1.1/21</t>
  </si>
  <si>
    <t>MF-136B2.1/21</t>
  </si>
  <si>
    <t>21L909A</t>
  </si>
  <si>
    <t>21L909C</t>
  </si>
  <si>
    <t>MF-149/21</t>
  </si>
  <si>
    <t>MF-151.2/21</t>
  </si>
  <si>
    <t>MF-152/21</t>
  </si>
  <si>
    <t>MF-153/21</t>
  </si>
  <si>
    <t>MF-155/21</t>
  </si>
  <si>
    <t>Ecochem Group Co., Ltd.</t>
  </si>
  <si>
    <t>CLF-82A.2.1/21</t>
  </si>
  <si>
    <t>CLF-82A.2.2/21</t>
  </si>
  <si>
    <t>F001-00014720</t>
  </si>
  <si>
    <t>F002-00003552</t>
  </si>
  <si>
    <t>F001-26296</t>
  </si>
  <si>
    <t>F200-43157</t>
  </si>
  <si>
    <t>F200-43159</t>
  </si>
  <si>
    <t>Forfaiting (Banco - Proveedor)</t>
  </si>
  <si>
    <t>Forfaiting (Equilibra - Banco)</t>
  </si>
  <si>
    <t>36934</t>
  </si>
  <si>
    <t>MF-092.3/21</t>
  </si>
  <si>
    <t>F200-43156</t>
  </si>
  <si>
    <t>MF-158/21</t>
  </si>
  <si>
    <t>MF-159/21</t>
  </si>
  <si>
    <t>MF-160/21</t>
  </si>
  <si>
    <t>AÑO VCTO FACT</t>
  </si>
  <si>
    <t>SEM VTO FACT</t>
  </si>
  <si>
    <t>Etiquetas de fila</t>
  </si>
  <si>
    <t>Total general</t>
  </si>
  <si>
    <t xml:space="preserve"> TOTAL USD</t>
  </si>
  <si>
    <t>MES VCTO FACT</t>
  </si>
  <si>
    <t>Etiquetas de columna</t>
  </si>
  <si>
    <t>ENERO</t>
  </si>
  <si>
    <t>MES TEXTO</t>
  </si>
  <si>
    <t>F301-001317</t>
  </si>
  <si>
    <t>F301-001319</t>
  </si>
  <si>
    <t>CLF-084.2.1/21</t>
  </si>
  <si>
    <t>F301-001316</t>
  </si>
  <si>
    <t>F301-001318</t>
  </si>
  <si>
    <t>CLF-88/21</t>
  </si>
  <si>
    <t>F001-65993</t>
  </si>
  <si>
    <t>CLF-89/21</t>
  </si>
  <si>
    <t xml:space="preserve"> F301-001296</t>
  </si>
  <si>
    <t>F001-00014821</t>
  </si>
  <si>
    <t>CLF-82A.3.1/21</t>
  </si>
  <si>
    <t>CLF-82A.3.2/21</t>
  </si>
  <si>
    <t>21L910B</t>
  </si>
  <si>
    <t>21L910C</t>
  </si>
  <si>
    <t>MF-156.1/21</t>
  </si>
  <si>
    <t>MF-156.2/21</t>
  </si>
  <si>
    <t>MF-163/21</t>
  </si>
  <si>
    <t>MF-169/21</t>
  </si>
  <si>
    <t>MF-170/21</t>
  </si>
  <si>
    <t>MF-171.1/21</t>
  </si>
  <si>
    <t>MF-164/21</t>
  </si>
  <si>
    <t>MF-165/21</t>
  </si>
  <si>
    <t>MF-166/21</t>
  </si>
  <si>
    <t>MF-167/21</t>
  </si>
  <si>
    <t>MF-168/21</t>
  </si>
  <si>
    <t>F001-26720</t>
  </si>
  <si>
    <t>5000697-699</t>
  </si>
  <si>
    <t>MF-171.2/21</t>
  </si>
  <si>
    <t>MF-172/21</t>
  </si>
  <si>
    <t>MF-173/21</t>
  </si>
  <si>
    <t>MF-174/21</t>
  </si>
  <si>
    <t>MF-175/21</t>
  </si>
  <si>
    <t>MF-176/21</t>
  </si>
  <si>
    <t>MF-177/21</t>
  </si>
  <si>
    <t>MF-178/21</t>
  </si>
  <si>
    <t>MF-179/21</t>
  </si>
  <si>
    <t>MF-180/21</t>
  </si>
  <si>
    <t>MF-181/21</t>
  </si>
  <si>
    <t>MF-182/21</t>
  </si>
  <si>
    <t>YARATERA REXOLIN CXK X5KG</t>
  </si>
  <si>
    <t>MF-183/21</t>
  </si>
  <si>
    <t>YARATERA REXOLIN MN13 X5KG</t>
  </si>
  <si>
    <t>YARATERA REXOLIN Q48 X5KG</t>
  </si>
  <si>
    <t>MF-185/21</t>
  </si>
  <si>
    <t>YARAVITA MAGTRAC X 10L</t>
  </si>
  <si>
    <t>MF-186/21</t>
  </si>
  <si>
    <t>TIOSULFATO DE POTASIO</t>
  </si>
  <si>
    <t>F200-43168</t>
  </si>
  <si>
    <t>F200-43158</t>
  </si>
  <si>
    <t>CLF-091/21</t>
  </si>
  <si>
    <t>CLF-091.1/21</t>
  </si>
  <si>
    <t>CLF-091.2/21</t>
  </si>
  <si>
    <t>CLF-092.1/21</t>
  </si>
  <si>
    <t>CLF-092.3/21</t>
  </si>
  <si>
    <t>CLF-092.2/21</t>
  </si>
  <si>
    <t>CLF-093/21</t>
  </si>
  <si>
    <t>SUPERFOSFATO TRIPLE – GRANEL</t>
  </si>
  <si>
    <t>F002-00003590</t>
  </si>
  <si>
    <t>F001-26921</t>
  </si>
  <si>
    <t>PC 2.101.698</t>
  </si>
  <si>
    <t>MF-187/21</t>
  </si>
  <si>
    <t>MF-188/21</t>
  </si>
  <si>
    <t>MF-190/21</t>
  </si>
  <si>
    <t>MF-191/21</t>
  </si>
  <si>
    <t>MF-192/21</t>
  </si>
  <si>
    <t>MF-195/21</t>
  </si>
  <si>
    <t>MERRYCORN</t>
  </si>
  <si>
    <t>MF-196/21</t>
  </si>
  <si>
    <t>MF-197B/21</t>
  </si>
  <si>
    <t>MF-198/21</t>
  </si>
  <si>
    <t>MF-199/21</t>
  </si>
  <si>
    <t>F200-43163</t>
  </si>
  <si>
    <t>F200-43165</t>
  </si>
  <si>
    <t>F200-43166</t>
  </si>
  <si>
    <t>F200-43167</t>
  </si>
  <si>
    <t>DEX 0114/08/2021</t>
  </si>
  <si>
    <t>#470/2021</t>
  </si>
  <si>
    <t>60/45</t>
  </si>
  <si>
    <t>F001-00015093</t>
  </si>
  <si>
    <t>F002-00003616</t>
  </si>
  <si>
    <t>F001-27288/F001-27289</t>
  </si>
  <si>
    <t>F001-27076</t>
  </si>
  <si>
    <t>CLF-095/21</t>
  </si>
  <si>
    <t>FOSFATO MONOPOTASICO (MKP) X25KG</t>
  </si>
  <si>
    <t>F001-10054042</t>
  </si>
  <si>
    <t>F001-00062085</t>
  </si>
  <si>
    <t>F001-00014654</t>
  </si>
  <si>
    <t>CLF-094/21</t>
  </si>
  <si>
    <t>CARBONATO DE CALCIO X 30 KG SB</t>
  </si>
  <si>
    <t>INSUMEX</t>
  </si>
  <si>
    <t>F001-00018327</t>
  </si>
  <si>
    <t>MF-203/21</t>
  </si>
  <si>
    <t>MF-204A/21</t>
  </si>
  <si>
    <t>MF-205/21</t>
  </si>
  <si>
    <t>MF-210/21</t>
  </si>
  <si>
    <t>MF-213A/21</t>
  </si>
  <si>
    <t>MF-213B/21</t>
  </si>
  <si>
    <t>MF-142.1/21</t>
  </si>
  <si>
    <t>STL110108082</t>
  </si>
  <si>
    <t>7300233553</t>
  </si>
  <si>
    <t>5000748</t>
  </si>
  <si>
    <t>5000758</t>
  </si>
  <si>
    <t>5000753</t>
  </si>
  <si>
    <t>MF-147A/21</t>
  </si>
  <si>
    <t>MF-147B/21</t>
  </si>
  <si>
    <t>MF-148A/21</t>
  </si>
  <si>
    <t>MF-148B/21</t>
  </si>
  <si>
    <t>MF-150.1/21</t>
  </si>
  <si>
    <t>MF-150.2/21</t>
  </si>
  <si>
    <t>MF-150.3/21</t>
  </si>
  <si>
    <t>MF-150.4/21</t>
  </si>
  <si>
    <t>21Y720</t>
  </si>
  <si>
    <t>5000750</t>
  </si>
  <si>
    <t>5000760</t>
  </si>
  <si>
    <t>5000761</t>
  </si>
  <si>
    <t>5000762</t>
  </si>
  <si>
    <t xml:space="preserve">21Y717 </t>
  </si>
  <si>
    <t>21Y718</t>
  </si>
  <si>
    <t>I-37456</t>
  </si>
  <si>
    <t>MF-157/21</t>
  </si>
  <si>
    <t>MF-162.1/21</t>
  </si>
  <si>
    <t>MF-162.2/21</t>
  </si>
  <si>
    <t>F200-43171</t>
  </si>
  <si>
    <t>F200-43175</t>
  </si>
  <si>
    <t>F200-43174</t>
  </si>
  <si>
    <t>F200-43173</t>
  </si>
  <si>
    <t>MF-184.1/21</t>
  </si>
  <si>
    <t>MF-184.2/21</t>
  </si>
  <si>
    <t>MF-206/21</t>
  </si>
  <si>
    <t>MF-207/21</t>
  </si>
  <si>
    <t>22/09 y 28/09</t>
  </si>
  <si>
    <t>F001-00015188</t>
  </si>
  <si>
    <t>F002-00003629</t>
  </si>
  <si>
    <t>F200-43172</t>
  </si>
  <si>
    <t>F200-43177</t>
  </si>
  <si>
    <t>F200-43180</t>
  </si>
  <si>
    <t>F200-43181</t>
  </si>
  <si>
    <t>F200-43179</t>
  </si>
  <si>
    <t>F200-43178</t>
  </si>
  <si>
    <t>MC/EQ202110**CI01</t>
  </si>
  <si>
    <t>CLF-096/21</t>
  </si>
  <si>
    <t>CLF-097.1/21</t>
  </si>
  <si>
    <t>CLF-097.2/21</t>
  </si>
  <si>
    <t>CLF-098/21</t>
  </si>
  <si>
    <t>CLF-099/21</t>
  </si>
  <si>
    <t>CLF-100/21</t>
  </si>
  <si>
    <t>CLF-101.2/21</t>
  </si>
  <si>
    <t>CLF-101.3/21</t>
  </si>
  <si>
    <t>F001-27771</t>
  </si>
  <si>
    <t>F001-00015338</t>
  </si>
  <si>
    <t>CLF-87.1/21</t>
  </si>
  <si>
    <t>F001-00015356</t>
  </si>
  <si>
    <t>F001 - 0018466</t>
  </si>
  <si>
    <t>MF-142.2/21</t>
  </si>
  <si>
    <t>MF-151.1/21</t>
  </si>
  <si>
    <t xml:space="preserve">21Y719 </t>
  </si>
  <si>
    <t>MF-204D/21</t>
  </si>
  <si>
    <t>MF-204E/21</t>
  </si>
  <si>
    <t>MF-208/21</t>
  </si>
  <si>
    <t>MF-215/21</t>
  </si>
  <si>
    <t>MF-217/21</t>
  </si>
  <si>
    <t>PEKACID</t>
  </si>
  <si>
    <t>F200-43185</t>
  </si>
  <si>
    <t>F200-43186</t>
  </si>
  <si>
    <t>5000772</t>
  </si>
  <si>
    <t>5000783</t>
  </si>
  <si>
    <t>5000782</t>
  </si>
  <si>
    <t>NC SE APLICA A LA FACTURA F200-42933</t>
  </si>
  <si>
    <t>NC SE APLICA A LA FACTURA F200-42909</t>
  </si>
  <si>
    <t>MF-161/21</t>
  </si>
  <si>
    <t>F200-43164</t>
  </si>
  <si>
    <t>CLF-101.1.A/21</t>
  </si>
  <si>
    <t>CLF-101.1.B/21</t>
  </si>
  <si>
    <t>F002-00003666</t>
  </si>
  <si>
    <t>F002-00003670</t>
  </si>
  <si>
    <t>F101 - 00002019</t>
  </si>
  <si>
    <t>F200-43190</t>
  </si>
  <si>
    <t>MF-218/21</t>
  </si>
  <si>
    <t>MF-221/21</t>
  </si>
  <si>
    <t>UREA FOSFATADA X 25KG</t>
  </si>
  <si>
    <t>7300234395</t>
  </si>
  <si>
    <t>5000789</t>
  </si>
  <si>
    <t>5000790</t>
  </si>
  <si>
    <t>F200-43188</t>
  </si>
  <si>
    <t>F200-43187</t>
  </si>
  <si>
    <t>MF-216A/21</t>
  </si>
  <si>
    <t>MF-216B/21</t>
  </si>
  <si>
    <t>F200-43189</t>
  </si>
  <si>
    <t>F101 - 00002054</t>
  </si>
  <si>
    <t>36554-C</t>
  </si>
  <si>
    <t>Se canjeó la Urea con otro producto</t>
  </si>
  <si>
    <t>F002-00003688/F002-00003692</t>
  </si>
  <si>
    <t>Se Cancela compra</t>
  </si>
  <si>
    <t>F001-27997</t>
  </si>
  <si>
    <t>CLF-102A/21</t>
  </si>
  <si>
    <t>CLF-102B/21</t>
  </si>
  <si>
    <t>CLF-103.1/21</t>
  </si>
  <si>
    <t>CLF-103.2/21</t>
  </si>
  <si>
    <t>CLF-104/21</t>
  </si>
  <si>
    <t>CLF-82A.3.3/21</t>
  </si>
  <si>
    <t>CLF-82A.1.3/21</t>
  </si>
  <si>
    <t>CLF-82A.3.3.1/21</t>
  </si>
  <si>
    <t>CLF-87.2/21</t>
  </si>
  <si>
    <t>F001-00015570</t>
  </si>
  <si>
    <t>SEMANA DE VCTO</t>
  </si>
  <si>
    <t>F001-28189</t>
  </si>
  <si>
    <t>F001-28215</t>
  </si>
  <si>
    <t>STL110108130</t>
  </si>
  <si>
    <t>5000797</t>
  </si>
  <si>
    <t>MF-223/21</t>
  </si>
  <si>
    <t>F200-43202</t>
  </si>
  <si>
    <t>MF-224/21</t>
  </si>
  <si>
    <t>F200-43201</t>
  </si>
  <si>
    <t>MF-225/21</t>
  </si>
  <si>
    <t>MF-227/21</t>
  </si>
  <si>
    <t>MF-229/21</t>
  </si>
  <si>
    <t>MF-230/21</t>
  </si>
  <si>
    <t>MF-231/21</t>
  </si>
  <si>
    <t>MF-232/21</t>
  </si>
  <si>
    <t>MF-233/21</t>
  </si>
  <si>
    <t>MF-234/21</t>
  </si>
  <si>
    <t>MF-236/21</t>
  </si>
  <si>
    <t>F200-43195</t>
  </si>
  <si>
    <t>F200-43197</t>
  </si>
  <si>
    <t>F200-43194</t>
  </si>
  <si>
    <t>306031276</t>
  </si>
  <si>
    <t>7300242776</t>
  </si>
  <si>
    <t>F200-43204</t>
  </si>
  <si>
    <t>20JEQ001</t>
  </si>
  <si>
    <t>7300242775</t>
  </si>
  <si>
    <t>F200-43205</t>
  </si>
  <si>
    <t>F200-43206</t>
  </si>
  <si>
    <t>F200-43203</t>
  </si>
  <si>
    <t>F200-43200</t>
  </si>
  <si>
    <t>37855</t>
  </si>
  <si>
    <t>Nº 29</t>
  </si>
  <si>
    <t>Nº 32</t>
  </si>
  <si>
    <t>MF-202A/21</t>
  </si>
  <si>
    <t>MF-202B/21</t>
  </si>
  <si>
    <t>MF-202C/21</t>
  </si>
  <si>
    <t>MF-202D/21</t>
  </si>
  <si>
    <t>MF-214A/21</t>
  </si>
  <si>
    <t>MF-214B/21</t>
  </si>
  <si>
    <t>F200-43198</t>
  </si>
  <si>
    <t>F200-43199</t>
  </si>
  <si>
    <t>MF-220A/21</t>
  </si>
  <si>
    <t>MF-220B/21</t>
  </si>
  <si>
    <t>F200-43196</t>
  </si>
  <si>
    <t>F001-00015642</t>
  </si>
  <si>
    <t>F301-001377</t>
  </si>
  <si>
    <t>VALOR DAM  APROX (USD)</t>
  </si>
  <si>
    <t>TC</t>
  </si>
  <si>
    <t>PAGO DAM APROX (PEN)</t>
  </si>
  <si>
    <t>Status</t>
  </si>
  <si>
    <t>F301-001308</t>
  </si>
  <si>
    <t>F200-43207</t>
  </si>
  <si>
    <t>MF-204B1/21</t>
  </si>
  <si>
    <t>MF-204B2/21</t>
  </si>
  <si>
    <t>MF-237/21</t>
  </si>
  <si>
    <t>MF-238/21</t>
  </si>
  <si>
    <t>21JEQ002</t>
  </si>
  <si>
    <t>SG-MSL-12329-41</t>
  </si>
  <si>
    <t>MF-202E/21</t>
  </si>
  <si>
    <t>Nº 37</t>
  </si>
  <si>
    <t>SG-MSL-12329-40</t>
  </si>
  <si>
    <t>F001-00015581</t>
  </si>
  <si>
    <t>F001-00015697</t>
  </si>
  <si>
    <t>F301-001376</t>
  </si>
  <si>
    <t>F002-00003726/F002-00003727</t>
  </si>
  <si>
    <t>CLF-103.3/21</t>
  </si>
  <si>
    <t>F200-43209</t>
  </si>
  <si>
    <t>F200-43210</t>
  </si>
  <si>
    <t>F200-43208</t>
  </si>
  <si>
    <t>F001-15646</t>
  </si>
  <si>
    <t>CLF-87.3/21</t>
  </si>
  <si>
    <t>CLF-87.4/21</t>
  </si>
  <si>
    <t>F200-43211</t>
  </si>
  <si>
    <t>F200-43212</t>
  </si>
  <si>
    <t>CLF-105/21</t>
  </si>
  <si>
    <t>CLF-106/21</t>
  </si>
  <si>
    <t>YARAMILA ABOTEK 50KG SB</t>
  </si>
  <si>
    <t>F001-28305</t>
  </si>
  <si>
    <t>F200-43214</t>
  </si>
  <si>
    <t>MF-239/21</t>
  </si>
  <si>
    <t>MF-240/21</t>
  </si>
  <si>
    <t>MF-242/21</t>
  </si>
  <si>
    <t>MF-243/21</t>
  </si>
  <si>
    <t>MF-244/21</t>
  </si>
  <si>
    <t>MF-245/21</t>
  </si>
  <si>
    <t>MF-246/21</t>
  </si>
  <si>
    <t>MF-241/21</t>
  </si>
  <si>
    <t>#471/2021</t>
  </si>
  <si>
    <t>F200-43213</t>
  </si>
  <si>
    <t>5000807</t>
  </si>
  <si>
    <t>MF-202F/21</t>
  </si>
  <si>
    <t>MF-204C/21</t>
  </si>
  <si>
    <t>202152716</t>
  </si>
  <si>
    <t>20% (CONFIRMAR PRECIO)</t>
  </si>
  <si>
    <t>80% (CONFIRMAR PRECIO)</t>
  </si>
  <si>
    <t>F200-43218</t>
  </si>
  <si>
    <t>F301-001386</t>
  </si>
  <si>
    <t>I-38310</t>
  </si>
  <si>
    <t>I-38304</t>
  </si>
  <si>
    <t>MF-248/21</t>
  </si>
  <si>
    <t>MF-252/21</t>
  </si>
  <si>
    <t>MF-253/21</t>
  </si>
  <si>
    <t>MF-255/21</t>
  </si>
  <si>
    <t>MF-257/21</t>
  </si>
  <si>
    <t>MF-258/21</t>
  </si>
  <si>
    <t>MF-259/21</t>
  </si>
  <si>
    <t>MF-262/21</t>
  </si>
  <si>
    <t>YARALIVA NITRABOR X25 KG</t>
  </si>
  <si>
    <t xml:space="preserve">PHOSAGRO </t>
  </si>
  <si>
    <t>SG-MNL-12329-42</t>
  </si>
  <si>
    <t>SG-MSL-12329-43</t>
  </si>
  <si>
    <t>38238</t>
  </si>
  <si>
    <t>MF-202G/21</t>
  </si>
  <si>
    <t>MF-202H/21</t>
  </si>
  <si>
    <t>MF-202I/21</t>
  </si>
  <si>
    <t>MF-202J/21</t>
  </si>
  <si>
    <t>N° 41</t>
  </si>
  <si>
    <t>N° 43</t>
  </si>
  <si>
    <t>MF-235.1/21</t>
  </si>
  <si>
    <t>MF-235.2/21</t>
  </si>
  <si>
    <t>MF-263/21</t>
  </si>
  <si>
    <t>MF-264A/21</t>
  </si>
  <si>
    <t>MF-264B/21</t>
  </si>
  <si>
    <t>MF-265B/21</t>
  </si>
  <si>
    <t>MF-219B.1/21</t>
  </si>
  <si>
    <t>MF-219B.2/21</t>
  </si>
  <si>
    <t>F200-43221</t>
  </si>
  <si>
    <t>F200-43220</t>
  </si>
  <si>
    <t>MF-250.1/21</t>
  </si>
  <si>
    <t>MF-250.2/21</t>
  </si>
  <si>
    <t>MF-250.3/21</t>
  </si>
  <si>
    <t>MF-251.2/21</t>
  </si>
  <si>
    <t>MF-251.3/21</t>
  </si>
  <si>
    <t>MF-251.4/21</t>
  </si>
  <si>
    <t>MF-251.1/21</t>
  </si>
  <si>
    <t>F001-00015906</t>
  </si>
  <si>
    <t>F400-1782</t>
  </si>
  <si>
    <t>F200-43224</t>
  </si>
  <si>
    <t>F200-43223</t>
  </si>
  <si>
    <t>F200-43222</t>
  </si>
  <si>
    <t>F001-00014653</t>
  </si>
  <si>
    <t>F001-00015962</t>
  </si>
  <si>
    <t>F001-00015940</t>
  </si>
  <si>
    <t>CLF-87.5/21</t>
  </si>
  <si>
    <t>CLF-108/21</t>
  </si>
  <si>
    <t>F001-00064509</t>
  </si>
  <si>
    <t>F001-00016034</t>
  </si>
  <si>
    <t>Adelanto</t>
  </si>
  <si>
    <t>Trade Finance (Por 7500tm)</t>
  </si>
  <si>
    <t>F001-00015763</t>
  </si>
  <si>
    <t>F200-43237</t>
  </si>
  <si>
    <t>Forfaiting (Banco - TGO)</t>
  </si>
  <si>
    <t>MF-139/21</t>
  </si>
  <si>
    <t>MF-200A/21</t>
  </si>
  <si>
    <t>MF-200B/21</t>
  </si>
  <si>
    <t>MF-201A/21</t>
  </si>
  <si>
    <t>MF-201B/21</t>
  </si>
  <si>
    <t>MF-202K/21</t>
  </si>
  <si>
    <t>MF-202L/21</t>
  </si>
  <si>
    <t>MF-202M/21</t>
  </si>
  <si>
    <t>MF-202N/21</t>
  </si>
  <si>
    <t>N° 44</t>
  </si>
  <si>
    <t>N° 48</t>
  </si>
  <si>
    <t>F200-43226</t>
  </si>
  <si>
    <t>F200-43227</t>
  </si>
  <si>
    <t>F200-43225</t>
  </si>
  <si>
    <t>21JEQ003</t>
  </si>
  <si>
    <t>21JEQ004</t>
  </si>
  <si>
    <t>MF-247.1/21</t>
  </si>
  <si>
    <t>MF-247.2/21</t>
  </si>
  <si>
    <t xml:space="preserve">PAT_EQUILIBRA PERU_2017-320 </t>
  </si>
  <si>
    <t>MF-266/21</t>
  </si>
  <si>
    <t>MF-267/21</t>
  </si>
  <si>
    <t>MF-268/21</t>
  </si>
  <si>
    <t>MF-269/21</t>
  </si>
  <si>
    <t>C-BIO CPS X 10 LT</t>
  </si>
  <si>
    <t>YARAVITA BUD BUILDER x 10 LT</t>
  </si>
  <si>
    <t>C&amp;B AGRI ENTERPRISE LTD</t>
  </si>
  <si>
    <t>EN TRÁNSITO</t>
  </si>
  <si>
    <t>CFR</t>
  </si>
  <si>
    <t>CPT</t>
  </si>
  <si>
    <t>CIF</t>
  </si>
  <si>
    <t>CLF-107.1/21</t>
  </si>
  <si>
    <t>CLF-107.2/21</t>
  </si>
  <si>
    <t>DIAMOND</t>
  </si>
  <si>
    <t>F001-00003006</t>
  </si>
  <si>
    <t>301001940</t>
  </si>
  <si>
    <t>STLI10108219</t>
  </si>
  <si>
    <t>F301-001415</t>
  </si>
  <si>
    <t>CLF-109/21</t>
  </si>
  <si>
    <t>MF-265A.1/21</t>
  </si>
  <si>
    <t>MF-265A.2/21</t>
  </si>
  <si>
    <t>5000836</t>
  </si>
  <si>
    <t>1er pago</t>
  </si>
  <si>
    <t>2do pago</t>
  </si>
  <si>
    <t>MF-219A.1/21</t>
  </si>
  <si>
    <t>MF-219A.2/21</t>
  </si>
  <si>
    <t>301001945</t>
  </si>
  <si>
    <t>301001934</t>
  </si>
  <si>
    <t>STL110108235</t>
  </si>
  <si>
    <t>MF-270B/21</t>
  </si>
  <si>
    <t>MF-271A/21</t>
  </si>
  <si>
    <t>MF-271B/21</t>
  </si>
  <si>
    <t>MF-272/21</t>
  </si>
  <si>
    <t>MF-273A/21</t>
  </si>
  <si>
    <t>MF-273B/21</t>
  </si>
  <si>
    <t>MF-274/21</t>
  </si>
  <si>
    <t>MF-275/21</t>
  </si>
  <si>
    <t>MF-276/21</t>
  </si>
  <si>
    <t>MF-277/21</t>
  </si>
  <si>
    <t>MF-278/21</t>
  </si>
  <si>
    <t>MF-279/21</t>
  </si>
  <si>
    <t>NITRATO CALCIO POLVO SOL</t>
  </si>
  <si>
    <t>Al-Afaq for Agricultural Materials Trade Company</t>
  </si>
  <si>
    <t>KINGENTA</t>
  </si>
  <si>
    <t>L/C</t>
  </si>
  <si>
    <t>SG-MNL-12329-44</t>
  </si>
  <si>
    <t>MF-254.1/21</t>
  </si>
  <si>
    <t>MF-254.2/21</t>
  </si>
  <si>
    <t>5000851</t>
  </si>
  <si>
    <t>5000855</t>
  </si>
  <si>
    <t>5000854</t>
  </si>
  <si>
    <t>5000852</t>
  </si>
  <si>
    <t>5000853</t>
  </si>
  <si>
    <t>F200-43239</t>
  </si>
  <si>
    <t>F200-43238</t>
  </si>
  <si>
    <t>MF-256.1/21</t>
  </si>
  <si>
    <t>MF-256.2/21</t>
  </si>
  <si>
    <t>F200-43245</t>
  </si>
  <si>
    <t>F200-43244</t>
  </si>
  <si>
    <t>F200-43242</t>
  </si>
  <si>
    <t>F200-43243</t>
  </si>
  <si>
    <t>F200-43241</t>
  </si>
  <si>
    <t>108mil posterior</t>
  </si>
  <si>
    <t>MF-280/21</t>
  </si>
  <si>
    <t>MF-281/21</t>
  </si>
  <si>
    <t>MF-282/21</t>
  </si>
  <si>
    <t>MF-283/21</t>
  </si>
  <si>
    <t>MF-284A/21</t>
  </si>
  <si>
    <t>MF-284B/21</t>
  </si>
  <si>
    <t>MF-285A/21</t>
  </si>
  <si>
    <t>MF-285B/21</t>
  </si>
  <si>
    <t>5000862</t>
  </si>
  <si>
    <t>MF-287/21</t>
  </si>
  <si>
    <t>MF-288/21</t>
  </si>
  <si>
    <t>MF-289/21</t>
  </si>
  <si>
    <t>MF-290/21</t>
  </si>
  <si>
    <t>MF-291/21</t>
  </si>
  <si>
    <t>MF-292/21</t>
  </si>
  <si>
    <t>MF-295/21</t>
  </si>
  <si>
    <t>MF-296/21</t>
  </si>
  <si>
    <t>MF-298/21</t>
  </si>
  <si>
    <t>38657</t>
  </si>
  <si>
    <t>N° 57</t>
  </si>
  <si>
    <t>N° 58</t>
  </si>
  <si>
    <t>N° 59</t>
  </si>
  <si>
    <t>MF-202O/21</t>
  </si>
  <si>
    <t>MF-202P/21</t>
  </si>
  <si>
    <t>MF-202Q/21</t>
  </si>
  <si>
    <t>MF-202R/21</t>
  </si>
  <si>
    <t>MF-202T/21</t>
  </si>
  <si>
    <t>202152934</t>
  </si>
  <si>
    <t>F200-43247</t>
  </si>
  <si>
    <t>F200-43246</t>
  </si>
  <si>
    <t>F200-43248</t>
  </si>
  <si>
    <t>20210695</t>
  </si>
  <si>
    <t>5000859</t>
  </si>
  <si>
    <t>MF-150.5/21</t>
  </si>
  <si>
    <t>5000860</t>
  </si>
  <si>
    <t>MF-293A/21</t>
  </si>
  <si>
    <t>MF-293B/21</t>
  </si>
  <si>
    <t>MF-294A/21</t>
  </si>
  <si>
    <t>MF-294B/21</t>
  </si>
  <si>
    <t>MF-297A/21</t>
  </si>
  <si>
    <t>MF-297B/21</t>
  </si>
  <si>
    <t>MF-299A/21</t>
  </si>
  <si>
    <t>MF-299B/21</t>
  </si>
  <si>
    <t>MF-299C/21</t>
  </si>
  <si>
    <t>MF-300A/21</t>
  </si>
  <si>
    <t>MF-300B/21</t>
  </si>
  <si>
    <t>MF-202U/21</t>
  </si>
  <si>
    <t>MF-202V/21</t>
  </si>
  <si>
    <t>MF-202S/21</t>
  </si>
  <si>
    <t>MF-302/21</t>
  </si>
  <si>
    <t>CLORURO DE CALCIO</t>
  </si>
  <si>
    <t>MF-001/22</t>
  </si>
  <si>
    <t xml:space="preserve">FORFAITING  </t>
  </si>
  <si>
    <t>CLF-110/21</t>
  </si>
  <si>
    <t>MUESTRA-1/21</t>
  </si>
  <si>
    <t>CLF-111.1.1/21</t>
  </si>
  <si>
    <t>CLF-111.1.2/21</t>
  </si>
  <si>
    <t>CLF-111.2/21</t>
  </si>
  <si>
    <t>CLF-111.3/21</t>
  </si>
  <si>
    <t>CLF-001.1/22</t>
  </si>
  <si>
    <t>CLF-001.2/22</t>
  </si>
  <si>
    <t>CLF-001.3/22</t>
  </si>
  <si>
    <t>HIDROXIDO DE COBRE</t>
  </si>
  <si>
    <t>CUPRICA SAC</t>
  </si>
  <si>
    <t>F301-001432</t>
  </si>
  <si>
    <t>F001-00001844</t>
  </si>
  <si>
    <t>F301-001441</t>
  </si>
  <si>
    <t>F301-001442</t>
  </si>
  <si>
    <t>MF-202W/21</t>
  </si>
  <si>
    <t>MF-202X/21</t>
  </si>
  <si>
    <t>MF-202Y/21</t>
  </si>
  <si>
    <t>N° 98</t>
  </si>
  <si>
    <t>N° 99</t>
  </si>
  <si>
    <t>N° 106</t>
  </si>
  <si>
    <t>N° 107</t>
  </si>
  <si>
    <t>CLF-002.1/22</t>
  </si>
  <si>
    <t>CLF-002.2/22</t>
  </si>
  <si>
    <t>CLF-002.3/22</t>
  </si>
  <si>
    <t>F001-00065832</t>
  </si>
  <si>
    <t>F301-001440</t>
  </si>
  <si>
    <t>CLF-003/22</t>
  </si>
  <si>
    <t>CLF-004/22</t>
  </si>
  <si>
    <t>CLF-005/22</t>
  </si>
  <si>
    <t>ROCA FOSFÓRICA A GRANEL</t>
  </si>
  <si>
    <t>CLF-87.7/21</t>
  </si>
  <si>
    <t>F001-00016689</t>
  </si>
  <si>
    <t>F001-29977</t>
  </si>
  <si>
    <t>F001-29980</t>
  </si>
  <si>
    <t>F001-29979</t>
  </si>
  <si>
    <t>F001-29978</t>
  </si>
  <si>
    <t>F001-29987</t>
  </si>
  <si>
    <t>F200-43251</t>
  </si>
  <si>
    <t>F200-43252</t>
  </si>
  <si>
    <t>5000867</t>
  </si>
  <si>
    <t>F200-43249</t>
  </si>
  <si>
    <t>N° 112</t>
  </si>
  <si>
    <t>N° 113</t>
  </si>
  <si>
    <t>N° 114</t>
  </si>
  <si>
    <t>N° 110</t>
  </si>
  <si>
    <t>MF-250.4/21</t>
  </si>
  <si>
    <t>MF-260.1/21</t>
  </si>
  <si>
    <t>MF-260.2/21</t>
  </si>
  <si>
    <t>SG-MSL-12329-43A</t>
  </si>
  <si>
    <t>MF-261A/21</t>
  </si>
  <si>
    <t>MF-261B/21</t>
  </si>
  <si>
    <t>MF-301/21</t>
  </si>
  <si>
    <t>MF-002/22</t>
  </si>
  <si>
    <t>FN01-0137588</t>
  </si>
  <si>
    <t>F200-43258</t>
  </si>
  <si>
    <t>MF-197A.1/21</t>
  </si>
  <si>
    <t>MF-197A.2/21</t>
  </si>
  <si>
    <t>MF-197A.3/21</t>
  </si>
  <si>
    <t>F200-43255</t>
  </si>
  <si>
    <t>F200-43250</t>
  </si>
  <si>
    <t>F200-43261</t>
  </si>
  <si>
    <t>INV220010</t>
  </si>
  <si>
    <t>MF-270C/21</t>
  </si>
  <si>
    <t>F200-43254</t>
  </si>
  <si>
    <t>KINGENTA-20211210TA</t>
  </si>
  <si>
    <t>117</t>
  </si>
  <si>
    <t>F200-43259</t>
  </si>
  <si>
    <t>F200-43257</t>
  </si>
  <si>
    <t>F200-43256</t>
  </si>
  <si>
    <t>F200-43253</t>
  </si>
  <si>
    <t>F200-43260</t>
  </si>
  <si>
    <t>ADELANTAR PAGO</t>
  </si>
  <si>
    <t>F200-43262</t>
  </si>
  <si>
    <t>50887PRE</t>
  </si>
  <si>
    <t>MF-137A/21</t>
  </si>
  <si>
    <t>MF-137B/21</t>
  </si>
  <si>
    <t>MF-137C/21</t>
  </si>
  <si>
    <t>MF-137D/21</t>
  </si>
  <si>
    <t>109</t>
  </si>
  <si>
    <t>121</t>
  </si>
  <si>
    <t>120</t>
  </si>
  <si>
    <t>122</t>
  </si>
  <si>
    <t>39110</t>
  </si>
  <si>
    <t>SALAVERRY</t>
  </si>
  <si>
    <t>MF-003/22</t>
  </si>
  <si>
    <t>MF-004/22</t>
  </si>
  <si>
    <t>CLF-006/22</t>
  </si>
  <si>
    <t>ACIDO NITRICO 53% 250KG BIDON</t>
  </si>
  <si>
    <t>QUIMEX</t>
  </si>
  <si>
    <t>F001-00120483</t>
  </si>
  <si>
    <t>CLF-103.3.B/21</t>
  </si>
  <si>
    <t>CLF-007.1/22</t>
  </si>
  <si>
    <t>CLF-007.2/22</t>
  </si>
  <si>
    <t>CLF-008.1/22</t>
  </si>
  <si>
    <t>CLF-008.2/22</t>
  </si>
  <si>
    <t>CLF-008.3/22</t>
  </si>
  <si>
    <t>CLF-009/22</t>
  </si>
  <si>
    <t>CLF-010/22</t>
  </si>
  <si>
    <t>MANUCHAR</t>
  </si>
  <si>
    <t>ACIDO FOSFORICO 85%  35KG BIDON</t>
  </si>
  <si>
    <t>FOSFATO MONOAMONICO CRIST X 25 KG</t>
  </si>
  <si>
    <t>F001-30259</t>
  </si>
  <si>
    <t>F001-30260</t>
  </si>
  <si>
    <t>F001-30261</t>
  </si>
  <si>
    <t>F001-30262</t>
  </si>
  <si>
    <t>F001-30263</t>
  </si>
  <si>
    <t>F001-30264</t>
  </si>
  <si>
    <t>F001-30286</t>
  </si>
  <si>
    <t>F001-30287</t>
  </si>
  <si>
    <t>F001-30288</t>
  </si>
  <si>
    <t>F001-30331</t>
  </si>
  <si>
    <t>F001-30377</t>
  </si>
  <si>
    <t>Pendt envío de Fact.</t>
  </si>
  <si>
    <t>F200-43263</t>
  </si>
  <si>
    <t>F200-43264</t>
  </si>
  <si>
    <t>MF-005/22</t>
  </si>
  <si>
    <t>MF-006/22</t>
  </si>
  <si>
    <t>F001-30442</t>
  </si>
  <si>
    <t>Aún no recogemos el producto.</t>
  </si>
  <si>
    <t>BLOQUEADO</t>
  </si>
  <si>
    <t>PRECIO</t>
  </si>
  <si>
    <t>PRECIO + INT</t>
  </si>
  <si>
    <t>TOTAL + INT</t>
  </si>
  <si>
    <t>TM A CRÉDITO</t>
  </si>
  <si>
    <t>TM PREPAGO</t>
  </si>
  <si>
    <t>TOTAL CRÉDITO 180</t>
  </si>
  <si>
    <t>TOTAL PREPAGO</t>
  </si>
  <si>
    <t>DIF</t>
  </si>
  <si>
    <t>SOL URALKALI</t>
  </si>
  <si>
    <t xml:space="preserve"> + 3 DÍAS</t>
  </si>
  <si>
    <t>de 3.5MM</t>
  </si>
  <si>
    <t>Confirmar pago del banco</t>
  </si>
  <si>
    <t>F200-43265</t>
  </si>
  <si>
    <t>5000906</t>
  </si>
  <si>
    <t>39169</t>
  </si>
  <si>
    <t>39137</t>
  </si>
  <si>
    <t>MF-007/22</t>
  </si>
  <si>
    <t>MF-008/22</t>
  </si>
  <si>
    <t>MF-009/22</t>
  </si>
  <si>
    <t>MF-010/22</t>
  </si>
  <si>
    <t>ACF BAQUEDANO S.A</t>
  </si>
  <si>
    <t>SG-MNL-12329-45</t>
  </si>
  <si>
    <t>PROFORMA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</si>
</sst>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_ * #,##0.000_ ;_ * \-#,##0.000_ ;_ * &quot;-&quot;??_ ;_ @_ "/>
    <numFmt numFmtId="167" formatCode="_ * #,##0_ ;_ * \-#,##0_ ;_ * &quot;-&quot;??_ ;_ @_ "/>
    <numFmt numFmtId="168" formatCode="_(* #,##0.00_);_(* \(#,##0.00\);_(* &quot;-&quot;??_);_(@_)"/>
    <numFmt numFmtId="169" formatCode="#,##0.0"/>
  </numFmts>
  <fonts count="52" x14ac:knownFonts="1">
    <font>
      <sz val="11"/>
      <color theme="1"/>
      <name val="Calibri"/>
      <family val="2"/>
      <scheme val="minor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u/>
      <sz val="26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rgb="FFFF0000"/>
      <name val="Arial"/>
      <family val="2"/>
    </font>
    <font>
      <sz val="8"/>
      <color rgb="FF0070C0"/>
      <name val="Arial"/>
      <family val="2"/>
    </font>
    <font>
      <sz val="8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4" tint="0.79998168889431442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165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8" applyNumberFormat="0" applyAlignment="0" applyProtection="0"/>
    <xf numFmtId="0" fontId="16" fillId="8" borderId="9" applyNumberFormat="0" applyAlignment="0" applyProtection="0"/>
    <xf numFmtId="0" fontId="17" fillId="8" borderId="8" applyNumberFormat="0" applyAlignment="0" applyProtection="0"/>
    <xf numFmtId="0" fontId="18" fillId="0" borderId="10" applyNumberFormat="0" applyFill="0" applyAlignment="0" applyProtection="0"/>
    <xf numFmtId="0" fontId="19" fillId="9" borderId="11" applyNumberFormat="0" applyAlignment="0" applyProtection="0"/>
    <xf numFmtId="0" fontId="7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2" fillId="34" borderId="0" applyNumberFormat="0" applyBorder="0" applyAlignment="0" applyProtection="0"/>
    <xf numFmtId="0" fontId="23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10" borderId="12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6" fillId="0" borderId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63"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3" fontId="3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15" fontId="2" fillId="2" borderId="3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15" fontId="2" fillId="2" borderId="2" xfId="0" applyNumberFormat="1" applyFont="1" applyFill="1" applyBorder="1" applyAlignment="1" applyProtection="1">
      <alignment horizontal="left" vertical="center"/>
    </xf>
    <xf numFmtId="15" fontId="2" fillId="2" borderId="2" xfId="0" applyNumberFormat="1" applyFont="1" applyFill="1" applyBorder="1" applyAlignment="1" applyProtection="1">
      <alignment horizontal="center" vertical="center"/>
    </xf>
    <xf numFmtId="4" fontId="1" fillId="2" borderId="3" xfId="0" applyNumberFormat="1" applyFont="1" applyFill="1" applyBorder="1" applyAlignment="1">
      <alignment horizontal="right"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166" fontId="3" fillId="2" borderId="3" xfId="1" quotePrefix="1" applyNumberFormat="1" applyFont="1" applyFill="1" applyBorder="1" applyAlignment="1" applyProtection="1">
      <alignment vertical="center" wrapText="1"/>
    </xf>
    <xf numFmtId="49" fontId="2" fillId="2" borderId="3" xfId="0" applyNumberFormat="1" applyFont="1" applyFill="1" applyBorder="1" applyAlignment="1" applyProtection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35" borderId="0" xfId="0" applyFill="1"/>
    <xf numFmtId="15" fontId="25" fillId="36" borderId="3" xfId="0" applyNumberFormat="1" applyFont="1" applyFill="1" applyBorder="1" applyAlignment="1" applyProtection="1">
      <alignment horizontal="left" vertical="center"/>
    </xf>
    <xf numFmtId="15" fontId="25" fillId="36" borderId="4" xfId="0" applyNumberFormat="1" applyFont="1" applyFill="1" applyBorder="1" applyAlignment="1" applyProtection="1">
      <alignment horizontal="left" vertical="center"/>
    </xf>
    <xf numFmtId="15" fontId="2" fillId="2" borderId="4" xfId="0" applyNumberFormat="1" applyFont="1" applyFill="1" applyBorder="1" applyAlignment="1" applyProtection="1">
      <alignment vertical="center"/>
    </xf>
    <xf numFmtId="0" fontId="1" fillId="2" borderId="4" xfId="0" applyNumberFormat="1" applyFont="1" applyFill="1" applyBorder="1" applyAlignment="1" applyProtection="1">
      <alignment horizontal="left" vertical="center"/>
    </xf>
    <xf numFmtId="0" fontId="2" fillId="2" borderId="14" xfId="0" applyNumberFormat="1" applyFont="1" applyFill="1" applyBorder="1" applyAlignment="1" applyProtection="1">
      <alignment horizontal="right" vertical="center"/>
    </xf>
    <xf numFmtId="15" fontId="2" fillId="2" borderId="16" xfId="0" applyNumberFormat="1" applyFont="1" applyFill="1" applyBorder="1" applyAlignment="1" applyProtection="1">
      <alignment horizontal="left" vertical="center"/>
    </xf>
    <xf numFmtId="15" fontId="2" fillId="2" borderId="16" xfId="0" applyNumberFormat="1" applyFont="1" applyFill="1" applyBorder="1" applyAlignment="1" applyProtection="1">
      <alignment horizontal="center" vertical="center"/>
    </xf>
    <xf numFmtId="165" fontId="3" fillId="2" borderId="4" xfId="1" quotePrefix="1" applyFont="1" applyFill="1" applyBorder="1" applyAlignment="1" applyProtection="1">
      <alignment horizontal="right" vertical="center"/>
    </xf>
    <xf numFmtId="4" fontId="1" fillId="2" borderId="4" xfId="0" applyNumberFormat="1" applyFont="1" applyFill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/>
    </xf>
    <xf numFmtId="0" fontId="27" fillId="3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20" xfId="0" applyBorder="1" applyAlignment="1"/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0" fontId="0" fillId="0" borderId="17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30" fillId="3" borderId="3" xfId="0" applyFont="1" applyFill="1" applyBorder="1" applyAlignment="1">
      <alignment horizontal="center" vertical="center" wrapText="1"/>
    </xf>
    <xf numFmtId="0" fontId="31" fillId="35" borderId="0" xfId="0" applyFont="1" applyFill="1"/>
    <xf numFmtId="15" fontId="32" fillId="36" borderId="4" xfId="0" applyNumberFormat="1" applyFont="1" applyFill="1" applyBorder="1" applyAlignment="1" applyProtection="1">
      <alignment horizontal="left" vertical="center"/>
    </xf>
    <xf numFmtId="0" fontId="31" fillId="0" borderId="17" xfId="0" applyFont="1" applyBorder="1"/>
    <xf numFmtId="0" fontId="31" fillId="0" borderId="19" xfId="0" applyFont="1" applyBorder="1"/>
    <xf numFmtId="0" fontId="31" fillId="0" borderId="0" xfId="0" applyFont="1"/>
    <xf numFmtId="49" fontId="2" fillId="2" borderId="2" xfId="0" applyNumberFormat="1" applyFont="1" applyFill="1" applyBorder="1" applyAlignment="1" applyProtection="1">
      <alignment horizontal="center" vertical="center"/>
    </xf>
    <xf numFmtId="15" fontId="2" fillId="2" borderId="3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right" vertical="center"/>
    </xf>
    <xf numFmtId="165" fontId="0" fillId="0" borderId="3" xfId="0" applyNumberFormat="1" applyBorder="1"/>
    <xf numFmtId="0" fontId="21" fillId="0" borderId="0" xfId="0" applyFont="1" applyBorder="1" applyAlignment="1">
      <alignment horizontal="left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2" fillId="2" borderId="19" xfId="0" applyNumberFormat="1" applyFont="1" applyFill="1" applyBorder="1" applyAlignment="1" applyProtection="1">
      <alignment horizontal="right" vertical="center"/>
    </xf>
    <xf numFmtId="15" fontId="2" fillId="2" borderId="21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horizontal="center"/>
    </xf>
    <xf numFmtId="4" fontId="0" fillId="0" borderId="0" xfId="0" applyNumberFormat="1"/>
    <xf numFmtId="15" fontId="32" fillId="36" borderId="3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right" vertical="center"/>
    </xf>
    <xf numFmtId="0" fontId="34" fillId="0" borderId="0" xfId="0" applyFont="1"/>
    <xf numFmtId="0" fontId="35" fillId="0" borderId="0" xfId="0" applyFont="1"/>
    <xf numFmtId="0" fontId="1" fillId="2" borderId="3" xfId="0" applyNumberFormat="1" applyFont="1" applyFill="1" applyBorder="1" applyAlignment="1" applyProtection="1">
      <alignment horizontal="center" vertical="center"/>
    </xf>
    <xf numFmtId="0" fontId="0" fillId="35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/>
    </xf>
    <xf numFmtId="15" fontId="2" fillId="37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19" fillId="38" borderId="3" xfId="0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" fontId="3" fillId="2" borderId="3" xfId="0" applyNumberFormat="1" applyFont="1" applyFill="1" applyBorder="1" applyAlignment="1">
      <alignment horizontal="right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left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2" fillId="2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49" fontId="0" fillId="0" borderId="0" xfId="0" applyNumberFormat="1" applyBorder="1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9" fontId="0" fillId="0" borderId="0" xfId="0" applyNumberFormat="1"/>
    <xf numFmtId="15" fontId="2" fillId="2" borderId="3" xfId="0" applyNumberFormat="1" applyFont="1" applyFill="1" applyBorder="1" applyAlignment="1" applyProtection="1">
      <alignment horizontal="center" vertical="center"/>
    </xf>
    <xf numFmtId="15" fontId="2" fillId="2" borderId="3" xfId="0" applyNumberFormat="1" applyFont="1" applyFill="1" applyBorder="1" applyAlignment="1" applyProtection="1">
      <alignment horizontal="left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15" fontId="2" fillId="2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15" fontId="3" fillId="2" borderId="3" xfId="0" applyNumberFormat="1" applyFont="1" applyFill="1" applyBorder="1" applyAlignment="1" applyProtection="1">
      <alignment vertical="center"/>
    </xf>
    <xf numFmtId="15" fontId="2" fillId="2" borderId="15" xfId="0" applyNumberFormat="1" applyFont="1" applyFill="1" applyBorder="1" applyAlignment="1" applyProtection="1">
      <alignment horizontal="center" vertical="center"/>
    </xf>
    <xf numFmtId="15" fontId="2" fillId="2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15" fontId="2" fillId="2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15" fontId="2" fillId="2" borderId="3" xfId="0" applyNumberFormat="1" applyFont="1" applyFill="1" applyBorder="1" applyAlignment="1" applyProtection="1">
      <alignment horizontal="left" vertical="center"/>
    </xf>
    <xf numFmtId="15" fontId="2" fillId="2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wrapText="1"/>
    </xf>
    <xf numFmtId="1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0" fillId="0" borderId="20" xfId="0" applyFill="1" applyBorder="1" applyAlignment="1">
      <alignment horizontal="left"/>
    </xf>
    <xf numFmtId="0" fontId="0" fillId="0" borderId="0" xfId="0" applyFill="1" applyBorder="1"/>
    <xf numFmtId="0" fontId="38" fillId="3" borderId="3" xfId="0" applyFont="1" applyFill="1" applyBorder="1" applyAlignment="1">
      <alignment horizontal="center" vertical="center" wrapText="1"/>
    </xf>
    <xf numFmtId="0" fontId="39" fillId="0" borderId="0" xfId="0" applyFont="1"/>
    <xf numFmtId="0" fontId="39" fillId="0" borderId="0" xfId="0" applyFont="1" applyAlignment="1">
      <alignment horizontal="center"/>
    </xf>
    <xf numFmtId="0" fontId="40" fillId="39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2" fillId="2" borderId="4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15" fontId="2" fillId="2" borderId="4" xfId="0" applyNumberFormat="1" applyFont="1" applyFill="1" applyBorder="1" applyAlignment="1" applyProtection="1">
      <alignment horizontal="left" vertical="center"/>
    </xf>
    <xf numFmtId="9" fontId="0" fillId="0" borderId="0" xfId="0" applyNumberFormat="1" applyAlignment="1">
      <alignment horizontal="left"/>
    </xf>
    <xf numFmtId="9" fontId="35" fillId="0" borderId="0" xfId="60" applyFont="1"/>
    <xf numFmtId="0" fontId="39" fillId="0" borderId="3" xfId="0" applyFont="1" applyFill="1" applyBorder="1"/>
    <xf numFmtId="0" fontId="39" fillId="0" borderId="3" xfId="0" applyFont="1" applyFill="1" applyBorder="1" applyAlignment="1">
      <alignment horizontal="center"/>
    </xf>
    <xf numFmtId="16" fontId="39" fillId="0" borderId="3" xfId="0" applyNumberFormat="1" applyFont="1" applyFill="1" applyBorder="1" applyAlignment="1">
      <alignment horizontal="center"/>
    </xf>
    <xf numFmtId="165" fontId="39" fillId="0" borderId="3" xfId="1" applyFont="1" applyFill="1" applyBorder="1"/>
    <xf numFmtId="165" fontId="0" fillId="0" borderId="3" xfId="0" applyNumberFormat="1" applyFill="1" applyBorder="1"/>
    <xf numFmtId="0" fontId="0" fillId="0" borderId="0" xfId="0" applyFill="1"/>
    <xf numFmtId="0" fontId="31" fillId="35" borderId="17" xfId="0" applyFont="1" applyFill="1" applyBorder="1"/>
    <xf numFmtId="0" fontId="0" fillId="35" borderId="0" xfId="0" applyFill="1" applyBorder="1" applyAlignment="1">
      <alignment horizontal="left"/>
    </xf>
    <xf numFmtId="0" fontId="0" fillId="35" borderId="0" xfId="0" applyFill="1" applyBorder="1" applyAlignment="1">
      <alignment horizontal="center"/>
    </xf>
    <xf numFmtId="0" fontId="0" fillId="35" borderId="0" xfId="0" applyFill="1" applyBorder="1" applyAlignment="1"/>
    <xf numFmtId="0" fontId="0" fillId="35" borderId="0" xfId="0" applyFill="1" applyBorder="1"/>
    <xf numFmtId="0" fontId="0" fillId="35" borderId="18" xfId="0" applyFill="1" applyBorder="1"/>
    <xf numFmtId="0" fontId="2" fillId="2" borderId="1" xfId="0" applyNumberFormat="1" applyFont="1" applyFill="1" applyBorder="1" applyAlignment="1" applyProtection="1">
      <alignment horizontal="left" vertical="center"/>
    </xf>
    <xf numFmtId="0" fontId="30" fillId="3" borderId="1" xfId="0" applyFont="1" applyFill="1" applyBorder="1" applyAlignment="1">
      <alignment horizontal="left" vertical="center" wrapText="1"/>
    </xf>
    <xf numFmtId="9" fontId="0" fillId="0" borderId="0" xfId="60" applyFont="1"/>
    <xf numFmtId="15" fontId="32" fillId="36" borderId="23" xfId="0" applyNumberFormat="1" applyFont="1" applyFill="1" applyBorder="1" applyAlignment="1" applyProtection="1">
      <alignment horizontal="left" vertical="center"/>
    </xf>
    <xf numFmtId="15" fontId="32" fillId="36" borderId="14" xfId="0" applyNumberFormat="1" applyFont="1" applyFill="1" applyBorder="1" applyAlignment="1" applyProtection="1">
      <alignment horizontal="left" vertical="center"/>
    </xf>
    <xf numFmtId="15" fontId="32" fillId="36" borderId="17" xfId="0" applyNumberFormat="1" applyFont="1" applyFill="1" applyBorder="1" applyAlignment="1" applyProtection="1">
      <alignment horizontal="left" vertical="center"/>
    </xf>
    <xf numFmtId="15" fontId="32" fillId="36" borderId="19" xfId="0" applyNumberFormat="1" applyFont="1" applyFill="1" applyBorder="1" applyAlignment="1" applyProtection="1">
      <alignment horizontal="left" vertical="center"/>
    </xf>
    <xf numFmtId="0" fontId="1" fillId="2" borderId="2" xfId="0" applyNumberFormat="1" applyFont="1" applyFill="1" applyBorder="1" applyAlignment="1" applyProtection="1">
      <alignment horizontal="left" vertical="center"/>
    </xf>
    <xf numFmtId="15" fontId="2" fillId="2" borderId="22" xfId="0" applyNumberFormat="1" applyFont="1" applyFill="1" applyBorder="1" applyAlignment="1" applyProtection="1">
      <alignment vertical="center"/>
    </xf>
    <xf numFmtId="15" fontId="2" fillId="2" borderId="23" xfId="0" applyNumberFormat="1" applyFont="1" applyFill="1" applyBorder="1" applyAlignment="1" applyProtection="1">
      <alignment vertical="center"/>
    </xf>
    <xf numFmtId="0" fontId="0" fillId="0" borderId="0" xfId="0"/>
    <xf numFmtId="49" fontId="2" fillId="2" borderId="2" xfId="0" applyNumberFormat="1" applyFont="1" applyFill="1" applyBorder="1" applyAlignment="1" applyProtection="1">
      <alignment horizontal="center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65" fontId="3" fillId="37" borderId="3" xfId="1" quotePrefix="1" applyFont="1" applyFill="1" applyBorder="1" applyAlignment="1" applyProtection="1">
      <alignment horizontal="right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15" fontId="32" fillId="36" borderId="3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left" vertical="center"/>
    </xf>
    <xf numFmtId="4" fontId="3" fillId="2" borderId="3" xfId="0" applyNumberFormat="1" applyFont="1" applyFill="1" applyBorder="1" applyAlignment="1">
      <alignment horizontal="right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left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9" fontId="0" fillId="0" borderId="0" xfId="0" applyNumberFormat="1"/>
    <xf numFmtId="15" fontId="2" fillId="2" borderId="3" xfId="0" applyNumberFormat="1" applyFont="1" applyFill="1" applyBorder="1" applyAlignment="1" applyProtection="1">
      <alignment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" fontId="2" fillId="2" borderId="2" xfId="0" applyNumberFormat="1" applyFont="1" applyFill="1" applyBorder="1" applyAlignment="1" applyProtection="1">
      <alignment horizontal="center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0" fontId="0" fillId="0" borderId="0" xfId="0" applyAlignment="1">
      <alignment wrapText="1"/>
    </xf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7" fillId="0" borderId="22" xfId="0" applyFont="1" applyBorder="1" applyAlignment="1">
      <alignment vertical="center" wrapText="1"/>
    </xf>
    <xf numFmtId="0" fontId="0" fillId="0" borderId="0" xfId="0"/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" fontId="2" fillId="2" borderId="2" xfId="0" applyNumberFormat="1" applyFont="1" applyFill="1" applyBorder="1" applyAlignment="1" applyProtection="1">
      <alignment horizontal="center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left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5" fontId="37" fillId="2" borderId="3" xfId="0" applyNumberFormat="1" applyFont="1" applyFill="1" applyBorder="1" applyAlignment="1" applyProtection="1">
      <alignment horizontal="center" vertical="center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 wrapText="1"/>
    </xf>
    <xf numFmtId="0" fontId="32" fillId="41" borderId="3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15" fontId="2" fillId="40" borderId="21" xfId="0" applyNumberFormat="1" applyFont="1" applyFill="1" applyBorder="1" applyAlignment="1" applyProtection="1">
      <alignment horizontal="center" vertical="center"/>
    </xf>
    <xf numFmtId="0" fontId="41" fillId="3" borderId="3" xfId="0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15" fontId="2" fillId="40" borderId="3" xfId="0" applyNumberFormat="1" applyFont="1" applyFill="1" applyBorder="1" applyAlignment="1" applyProtection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65" fontId="3" fillId="2" borderId="3" xfId="1" quotePrefix="1" applyFont="1" applyFill="1" applyBorder="1" applyAlignment="1" applyProtection="1">
      <alignment horizontal="right" vertical="center"/>
    </xf>
    <xf numFmtId="15" fontId="2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5" fontId="3" fillId="2" borderId="3" xfId="0" applyNumberFormat="1" applyFont="1" applyFill="1" applyBorder="1" applyAlignment="1">
      <alignment horizontal="right" vertical="top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2" borderId="3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left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43" fillId="0" borderId="0" xfId="0" applyFont="1" applyAlignment="1">
      <alignment horizontal="justify" vertical="center"/>
    </xf>
    <xf numFmtId="167" fontId="42" fillId="0" borderId="0" xfId="1" applyNumberFormat="1" applyFont="1"/>
    <xf numFmtId="0" fontId="44" fillId="42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4" fontId="0" fillId="0" borderId="0" xfId="0" applyNumberFormat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30" fillId="3" borderId="3" xfId="0" applyFont="1" applyFill="1" applyBorder="1" applyAlignment="1">
      <alignment horizontal="center" vertical="center" wrapText="1"/>
    </xf>
    <xf numFmtId="16" fontId="39" fillId="0" borderId="3" xfId="0" applyNumberFormat="1" applyFont="1" applyFill="1" applyBorder="1" applyAlignment="1">
      <alignment horizontal="center"/>
    </xf>
    <xf numFmtId="165" fontId="39" fillId="0" borderId="3" xfId="1" applyFont="1" applyFill="1" applyBorder="1"/>
    <xf numFmtId="2" fontId="39" fillId="0" borderId="3" xfId="0" applyNumberFormat="1" applyFont="1" applyFill="1" applyBorder="1"/>
    <xf numFmtId="0" fontId="39" fillId="0" borderId="3" xfId="0" applyFont="1" applyBorder="1" applyAlignment="1">
      <alignment horizontal="center"/>
    </xf>
    <xf numFmtId="0" fontId="0" fillId="0" borderId="3" xfId="0" applyBorder="1"/>
    <xf numFmtId="2" fontId="39" fillId="0" borderId="4" xfId="0" applyNumberFormat="1" applyFont="1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42" fillId="0" borderId="22" xfId="0" applyFont="1" applyBorder="1" applyAlignment="1">
      <alignment vertical="center" wrapText="1"/>
    </xf>
    <xf numFmtId="0" fontId="32" fillId="38" borderId="3" xfId="0" applyFont="1" applyFill="1" applyBorder="1" applyAlignment="1">
      <alignment horizontal="center" vertical="center" wrapText="1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" fontId="39" fillId="0" borderId="1" xfId="0" applyNumberFormat="1" applyFont="1" applyFill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0" fontId="39" fillId="0" borderId="1" xfId="0" applyFont="1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0" fontId="38" fillId="43" borderId="3" xfId="0" applyFont="1" applyFill="1" applyBorder="1" applyAlignment="1">
      <alignment horizontal="center" vertical="center" wrapText="1"/>
    </xf>
    <xf numFmtId="0" fontId="30" fillId="43" borderId="3" xfId="0" applyFont="1" applyFill="1" applyBorder="1" applyAlignment="1">
      <alignment horizontal="center" vertical="center" wrapText="1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" fontId="39" fillId="0" borderId="1" xfId="0" applyNumberFormat="1" applyFont="1" applyFill="1" applyBorder="1" applyAlignment="1">
      <alignment horizontal="left"/>
    </xf>
    <xf numFmtId="0" fontId="38" fillId="0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39" fillId="0" borderId="3" xfId="0" applyFont="1" applyBorder="1"/>
    <xf numFmtId="0" fontId="45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39" fillId="0" borderId="1" xfId="0" applyFont="1" applyFill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/>
    <xf numFmtId="15" fontId="2" fillId="2" borderId="3" xfId="0" applyNumberFormat="1" applyFont="1" applyFill="1" applyBorder="1" applyAlignment="1" applyProtection="1">
      <alignment vertical="center"/>
    </xf>
    <xf numFmtId="15" fontId="2" fillId="2" borderId="2" xfId="0" applyNumberFormat="1" applyFont="1" applyFill="1" applyBorder="1" applyAlignment="1" applyProtection="1">
      <alignment horizontal="center" vertical="center"/>
    </xf>
    <xf numFmtId="4" fontId="1" fillId="2" borderId="3" xfId="0" applyNumberFormat="1" applyFon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15" fontId="2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5" fontId="2" fillId="2" borderId="2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0" fillId="40" borderId="3" xfId="0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0" fontId="0" fillId="0" borderId="0" xfId="0" applyFont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39" fillId="0" borderId="3" xfId="0" applyFont="1" applyFill="1" applyBorder="1" applyAlignment="1">
      <alignment horizontal="right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" fontId="38" fillId="0" borderId="3" xfId="0" applyNumberFormat="1" applyFont="1" applyFill="1" applyBorder="1" applyAlignment="1">
      <alignment horizontal="left"/>
    </xf>
    <xf numFmtId="0" fontId="39" fillId="44" borderId="3" xfId="0" applyFont="1" applyFill="1" applyBorder="1"/>
    <xf numFmtId="0" fontId="39" fillId="44" borderId="3" xfId="0" applyFont="1" applyFill="1" applyBorder="1" applyAlignment="1">
      <alignment horizontal="center"/>
    </xf>
    <xf numFmtId="16" fontId="39" fillId="44" borderId="3" xfId="0" applyNumberFormat="1" applyFont="1" applyFill="1" applyBorder="1" applyAlignment="1">
      <alignment horizontal="center"/>
    </xf>
    <xf numFmtId="165" fontId="39" fillId="44" borderId="3" xfId="1" applyFont="1" applyFill="1" applyBorder="1"/>
    <xf numFmtId="0" fontId="0" fillId="44" borderId="0" xfId="0" applyFill="1"/>
    <xf numFmtId="15" fontId="2" fillId="40" borderId="3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wrapText="1"/>
    </xf>
    <xf numFmtId="0" fontId="0" fillId="44" borderId="3" xfId="0" applyFill="1" applyBorder="1"/>
    <xf numFmtId="0" fontId="0" fillId="0" borderId="3" xfId="0" applyFill="1" applyBorder="1" applyAlignment="1">
      <alignment wrapText="1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19" fillId="45" borderId="3" xfId="0" applyFont="1" applyFill="1" applyBorder="1" applyAlignment="1">
      <alignment horizontal="center" vertical="center" wrapText="1"/>
    </xf>
    <xf numFmtId="0" fontId="32" fillId="45" borderId="3" xfId="0" applyFont="1" applyFill="1" applyBorder="1" applyAlignment="1" applyProtection="1">
      <alignment horizontal="center" vertical="center" wrapText="1"/>
    </xf>
    <xf numFmtId="0" fontId="32" fillId="45" borderId="3" xfId="0" applyNumberFormat="1" applyFont="1" applyFill="1" applyBorder="1" applyAlignment="1" applyProtection="1">
      <alignment horizontal="center" vertical="center" wrapText="1"/>
    </xf>
    <xf numFmtId="15" fontId="2" fillId="42" borderId="24" xfId="0" applyNumberFormat="1" applyFont="1" applyFill="1" applyBorder="1" applyAlignment="1" applyProtection="1">
      <alignment horizontal="left" vertical="center"/>
    </xf>
    <xf numFmtId="15" fontId="3" fillId="42" borderId="24" xfId="0" applyNumberFormat="1" applyFont="1" applyFill="1" applyBorder="1" applyAlignment="1" applyProtection="1">
      <alignment vertical="center"/>
    </xf>
    <xf numFmtId="0" fontId="3" fillId="42" borderId="24" xfId="0" applyNumberFormat="1" applyFont="1" applyFill="1" applyBorder="1" applyAlignment="1" applyProtection="1">
      <alignment horizontal="left" vertical="center"/>
    </xf>
    <xf numFmtId="1" fontId="3" fillId="42" borderId="24" xfId="0" applyNumberFormat="1" applyFont="1" applyFill="1" applyBorder="1" applyAlignment="1">
      <alignment horizontal="center" vertical="center"/>
    </xf>
    <xf numFmtId="165" fontId="39" fillId="42" borderId="25" xfId="1" applyFont="1" applyFill="1" applyBorder="1"/>
    <xf numFmtId="165" fontId="39" fillId="46" borderId="25" xfId="1" applyFont="1" applyFill="1" applyBorder="1"/>
    <xf numFmtId="165" fontId="39" fillId="46" borderId="4" xfId="1" applyNumberFormat="1" applyFont="1" applyFill="1" applyBorder="1"/>
    <xf numFmtId="15" fontId="2" fillId="42" borderId="4" xfId="0" applyNumberFormat="1" applyFont="1" applyFill="1" applyBorder="1" applyAlignment="1" applyProtection="1">
      <alignment horizontal="left" vertical="center"/>
    </xf>
    <xf numFmtId="15" fontId="3" fillId="42" borderId="4" xfId="0" applyNumberFormat="1" applyFont="1" applyFill="1" applyBorder="1" applyAlignment="1" applyProtection="1">
      <alignment vertical="center"/>
    </xf>
    <xf numFmtId="0" fontId="3" fillId="42" borderId="4" xfId="0" applyNumberFormat="1" applyFont="1" applyFill="1" applyBorder="1" applyAlignment="1" applyProtection="1">
      <alignment horizontal="left" vertical="center"/>
    </xf>
    <xf numFmtId="1" fontId="3" fillId="42" borderId="4" xfId="0" applyNumberFormat="1" applyFont="1" applyFill="1" applyBorder="1" applyAlignment="1">
      <alignment horizontal="center" vertical="center"/>
    </xf>
    <xf numFmtId="4" fontId="3" fillId="42" borderId="4" xfId="0" applyNumberFormat="1" applyFont="1" applyFill="1" applyBorder="1" applyAlignment="1">
      <alignment horizontal="right" vertical="center"/>
    </xf>
    <xf numFmtId="165" fontId="39" fillId="42" borderId="3" xfId="1" applyFont="1" applyFill="1" applyBorder="1"/>
    <xf numFmtId="165" fontId="39" fillId="46" borderId="3" xfId="1" applyFont="1" applyFill="1" applyBorder="1"/>
    <xf numFmtId="43" fontId="0" fillId="44" borderId="0" xfId="0" applyNumberFormat="1" applyFill="1"/>
    <xf numFmtId="15" fontId="2" fillId="42" borderId="3" xfId="0" applyNumberFormat="1" applyFont="1" applyFill="1" applyBorder="1" applyAlignment="1" applyProtection="1">
      <alignment horizontal="left" vertical="center"/>
    </xf>
    <xf numFmtId="0" fontId="3" fillId="42" borderId="3" xfId="0" applyNumberFormat="1" applyFont="1" applyFill="1" applyBorder="1" applyAlignment="1" applyProtection="1">
      <alignment horizontal="left" vertical="center"/>
    </xf>
    <xf numFmtId="15" fontId="3" fillId="42" borderId="3" xfId="0" applyNumberFormat="1" applyFont="1" applyFill="1" applyBorder="1" applyAlignment="1" applyProtection="1">
      <alignment horizontal="center" vertical="center"/>
    </xf>
    <xf numFmtId="4" fontId="3" fillId="42" borderId="3" xfId="0" applyNumberFormat="1" applyFont="1" applyFill="1" applyBorder="1" applyAlignment="1">
      <alignment horizontal="right" vertical="center"/>
    </xf>
    <xf numFmtId="165" fontId="39" fillId="46" borderId="3" xfId="1" applyNumberFormat="1" applyFont="1" applyFill="1" applyBorder="1"/>
    <xf numFmtId="0" fontId="21" fillId="44" borderId="0" xfId="0" applyFont="1" applyFill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16" fontId="39" fillId="0" borderId="3" xfId="0" applyNumberFormat="1" applyFont="1" applyFill="1" applyBorder="1" applyAlignment="1">
      <alignment horizontal="center" vertical="center"/>
    </xf>
    <xf numFmtId="165" fontId="39" fillId="0" borderId="3" xfId="1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 vertical="center"/>
    </xf>
    <xf numFmtId="0" fontId="39" fillId="0" borderId="3" xfId="0" applyFont="1" applyBorder="1" applyAlignment="1">
      <alignment horizontal="left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" fontId="39" fillId="0" borderId="3" xfId="0" applyNumberFormat="1" applyFont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5" fontId="39" fillId="0" borderId="3" xfId="1" applyFont="1" applyFill="1" applyBorder="1" applyAlignment="1">
      <alignment horizontal="right"/>
    </xf>
    <xf numFmtId="15" fontId="2" fillId="40" borderId="3" xfId="0" applyNumberFormat="1" applyFont="1" applyFill="1" applyBorder="1" applyAlignment="1" applyProtection="1">
      <alignment horizontal="center" vertical="center"/>
    </xf>
    <xf numFmtId="16" fontId="47" fillId="0" borderId="3" xfId="0" applyNumberFormat="1" applyFont="1" applyFill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5" fontId="2" fillId="2" borderId="2" xfId="1" applyFont="1" applyFill="1" applyBorder="1" applyAlignment="1">
      <alignment horizontal="left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0" fillId="0" borderId="0" xfId="0" pivotButton="1"/>
    <xf numFmtId="49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horizontal="left" indent="1"/>
    </xf>
    <xf numFmtId="16" fontId="3" fillId="0" borderId="3" xfId="0" applyNumberFormat="1" applyFont="1" applyFill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5" fontId="39" fillId="0" borderId="23" xfId="1" applyFont="1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5" fontId="39" fillId="0" borderId="3" xfId="1" applyFont="1" applyFill="1" applyBorder="1" applyAlignment="1">
      <alignment horizontal="center"/>
    </xf>
    <xf numFmtId="0" fontId="39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4" fontId="39" fillId="0" borderId="3" xfId="67" applyFont="1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0" fontId="39" fillId="0" borderId="22" xfId="0" applyFont="1" applyFill="1" applyBorder="1" applyAlignment="1">
      <alignment horizontal="left" vertical="center"/>
    </xf>
    <xf numFmtId="0" fontId="39" fillId="0" borderId="22" xfId="0" applyFont="1" applyBorder="1"/>
    <xf numFmtId="0" fontId="39" fillId="0" borderId="22" xfId="0" applyFont="1" applyBorder="1" applyAlignment="1">
      <alignment horizontal="left" vertical="center"/>
    </xf>
    <xf numFmtId="0" fontId="39" fillId="0" borderId="22" xfId="0" applyFont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21" fillId="2" borderId="3" xfId="0" applyFont="1" applyFill="1" applyBorder="1" applyAlignment="1">
      <alignment horizontal="center"/>
    </xf>
    <xf numFmtId="0" fontId="38" fillId="40" borderId="3" xfId="0" applyNumberFormat="1" applyFont="1" applyFill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39" fillId="0" borderId="3" xfId="0" applyNumberFormat="1" applyFont="1" applyFill="1" applyBorder="1" applyAlignment="1">
      <alignment horizontal="center"/>
    </xf>
    <xf numFmtId="165" fontId="39" fillId="46" borderId="4" xfId="1" applyFont="1" applyFill="1" applyBorder="1"/>
    <xf numFmtId="166" fontId="39" fillId="46" borderId="4" xfId="1" applyNumberFormat="1" applyFont="1" applyFill="1" applyBorder="1"/>
    <xf numFmtId="0" fontId="3" fillId="42" borderId="4" xfId="0" applyNumberFormat="1" applyFont="1" applyFill="1" applyBorder="1" applyAlignment="1" applyProtection="1">
      <alignment horizontal="center" vertical="center"/>
    </xf>
    <xf numFmtId="0" fontId="3" fillId="42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6" fontId="39" fillId="0" borderId="3" xfId="1" applyNumberFormat="1" applyFont="1" applyFill="1" applyBorder="1"/>
    <xf numFmtId="167" fontId="39" fillId="0" borderId="3" xfId="1" applyNumberFormat="1" applyFont="1" applyFill="1" applyBorder="1"/>
    <xf numFmtId="165" fontId="39" fillId="0" borderId="3" xfId="1" applyNumberFormat="1" applyFont="1" applyFill="1" applyBorder="1"/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65" fontId="0" fillId="0" borderId="0" xfId="1" applyFont="1"/>
    <xf numFmtId="43" fontId="0" fillId="0" borderId="0" xfId="0" applyNumberFormat="1"/>
    <xf numFmtId="16" fontId="3" fillId="0" borderId="3" xfId="0" applyNumberFormat="1" applyFont="1" applyFill="1" applyBorder="1" applyAlignment="1">
      <alignment horizontal="center" vertical="center"/>
    </xf>
    <xf numFmtId="0" fontId="38" fillId="40" borderId="3" xfId="0" applyNumberFormat="1" applyFont="1" applyFill="1" applyBorder="1" applyAlignment="1">
      <alignment horizontal="center" vertical="center"/>
    </xf>
    <xf numFmtId="165" fontId="39" fillId="0" borderId="3" xfId="1" applyNumberFormat="1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49" fillId="47" borderId="3" xfId="0" applyNumberFormat="1" applyFont="1" applyFill="1" applyBorder="1" applyAlignment="1">
      <alignment horizontal="center" vertical="center"/>
    </xf>
    <xf numFmtId="4" fontId="37" fillId="47" borderId="3" xfId="0" applyNumberFormat="1" applyFont="1" applyFill="1" applyBorder="1" applyAlignment="1">
      <alignment horizontal="right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2" borderId="3" xfId="0" applyNumberFormat="1" applyFont="1" applyFill="1" applyBorder="1" applyAlignment="1">
      <alignment horizontal="left" vertical="center"/>
    </xf>
    <xf numFmtId="1" fontId="48" fillId="42" borderId="3" xfId="0" applyNumberFormat="1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left" vertical="center"/>
    </xf>
    <xf numFmtId="15" fontId="2" fillId="42" borderId="3" xfId="0" applyNumberFormat="1" applyFont="1" applyFill="1" applyBorder="1" applyAlignment="1">
      <alignment horizontal="center" vertical="center"/>
    </xf>
    <xf numFmtId="15" fontId="2" fillId="42" borderId="1" xfId="0" applyNumberFormat="1" applyFont="1" applyFill="1" applyBorder="1" applyAlignment="1">
      <alignment horizontal="center" vertical="center"/>
    </xf>
    <xf numFmtId="165" fontId="3" fillId="42" borderId="3" xfId="0" applyNumberFormat="1" applyFont="1" applyFill="1" applyBorder="1" applyAlignment="1">
      <alignment horizontal="right" vertical="center"/>
    </xf>
    <xf numFmtId="169" fontId="1" fillId="42" borderId="3" xfId="0" applyNumberFormat="1" applyFont="1" applyFill="1" applyBorder="1" applyAlignment="1">
      <alignment horizontal="center" vertical="center"/>
    </xf>
    <xf numFmtId="4" fontId="1" fillId="42" borderId="3" xfId="0" applyNumberFormat="1" applyFont="1" applyFill="1" applyBorder="1" applyAlignment="1">
      <alignment horizontal="right" vertical="center"/>
    </xf>
    <xf numFmtId="165" fontId="3" fillId="47" borderId="3" xfId="0" applyNumberFormat="1" applyFont="1" applyFill="1" applyBorder="1" applyAlignment="1">
      <alignment horizontal="right" vertical="center"/>
    </xf>
    <xf numFmtId="169" fontId="37" fillId="47" borderId="3" xfId="0" applyNumberFormat="1" applyFont="1" applyFill="1" applyBorder="1" applyAlignment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38" fillId="44" borderId="3" xfId="0" applyNumberFormat="1" applyFont="1" applyFill="1" applyBorder="1" applyAlignment="1">
      <alignment horizontal="center"/>
    </xf>
    <xf numFmtId="0" fontId="38" fillId="0" borderId="3" xfId="0" applyNumberFormat="1" applyFont="1" applyFill="1" applyBorder="1" applyAlignment="1">
      <alignment horizont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2" fillId="42" borderId="3" xfId="0" applyNumberFormat="1" applyFont="1" applyFill="1" applyBorder="1" applyAlignment="1">
      <alignment vertical="center"/>
    </xf>
    <xf numFmtId="15" fontId="49" fillId="48" borderId="3" xfId="0" applyNumberFormat="1" applyFont="1" applyFill="1" applyBorder="1" applyAlignment="1">
      <alignment horizontal="center" vertical="center"/>
    </xf>
    <xf numFmtId="4" fontId="37" fillId="48" borderId="3" xfId="0" applyNumberFormat="1" applyFont="1" applyFill="1" applyBorder="1" applyAlignment="1">
      <alignment horizontal="right" vertical="center"/>
    </xf>
    <xf numFmtId="165" fontId="3" fillId="48" borderId="3" xfId="0" applyNumberFormat="1" applyFont="1" applyFill="1" applyBorder="1" applyAlignment="1">
      <alignment horizontal="right" vertical="center"/>
    </xf>
    <xf numFmtId="169" fontId="37" fillId="48" borderId="3" xfId="0" applyNumberFormat="1" applyFont="1" applyFill="1" applyBorder="1" applyAlignment="1">
      <alignment horizontal="center" vertical="center"/>
    </xf>
    <xf numFmtId="3" fontId="3" fillId="42" borderId="3" xfId="0" applyNumberFormat="1" applyFont="1" applyFill="1" applyBorder="1" applyAlignment="1">
      <alignment horizontal="center" vertical="center"/>
    </xf>
    <xf numFmtId="15" fontId="49" fillId="47" borderId="3" xfId="0" applyNumberFormat="1" applyFont="1" applyFill="1" applyBorder="1" applyAlignment="1">
      <alignment horizontal="left" vertical="center"/>
    </xf>
    <xf numFmtId="1" fontId="48" fillId="47" borderId="3" xfId="0" applyNumberFormat="1" applyFont="1" applyFill="1" applyBorder="1" applyAlignment="1">
      <alignment horizontal="center" vertical="center"/>
    </xf>
    <xf numFmtId="15" fontId="49" fillId="47" borderId="3" xfId="0" applyNumberFormat="1" applyFont="1" applyFill="1" applyBorder="1" applyAlignment="1">
      <alignment vertical="center"/>
    </xf>
    <xf numFmtId="0" fontId="37" fillId="47" borderId="3" xfId="0" applyFont="1" applyFill="1" applyBorder="1" applyAlignment="1">
      <alignment horizontal="left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49" fillId="48" borderId="3" xfId="0" applyNumberFormat="1" applyFont="1" applyFill="1" applyBorder="1" applyAlignment="1">
      <alignment horizontal="left" vertical="center"/>
    </xf>
    <xf numFmtId="1" fontId="48" fillId="48" borderId="3" xfId="0" applyNumberFormat="1" applyFont="1" applyFill="1" applyBorder="1" applyAlignment="1">
      <alignment horizontal="center" vertical="center"/>
    </xf>
    <xf numFmtId="15" fontId="49" fillId="48" borderId="3" xfId="0" applyNumberFormat="1" applyFont="1" applyFill="1" applyBorder="1" applyAlignment="1">
      <alignment vertical="center"/>
    </xf>
    <xf numFmtId="0" fontId="37" fillId="48" borderId="3" xfId="0" applyFont="1" applyFill="1" applyBorder="1" applyAlignment="1">
      <alignment horizontal="left" vertical="center"/>
    </xf>
    <xf numFmtId="165" fontId="0" fillId="0" borderId="0" xfId="0" applyNumberFormat="1"/>
    <xf numFmtId="43" fontId="0" fillId="0" borderId="0" xfId="0" applyNumberFormat="1" applyAlignment="1">
      <alignment horizontal="left"/>
    </xf>
    <xf numFmtId="10" fontId="0" fillId="0" borderId="0" xfId="0" applyNumberFormat="1" applyFont="1"/>
    <xf numFmtId="165" fontId="7" fillId="0" borderId="0" xfId="1" applyFont="1"/>
    <xf numFmtId="0" fontId="0" fillId="0" borderId="0" xfId="0" applyAlignment="1">
      <alignment horizontal="right"/>
    </xf>
    <xf numFmtId="15" fontId="2" fillId="40" borderId="3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4" fillId="0" borderId="14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8" fillId="0" borderId="1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1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5" fontId="2" fillId="2" borderId="4" xfId="0" applyNumberFormat="1" applyFont="1" applyFill="1" applyBorder="1" applyAlignment="1" applyProtection="1">
      <alignment horizontal="center" vertical="center" wrapText="1"/>
    </xf>
    <xf numFmtId="15" fontId="2" fillId="2" borderId="23" xfId="0" applyNumberFormat="1" applyFont="1" applyFill="1" applyBorder="1" applyAlignment="1" applyProtection="1">
      <alignment horizontal="center" vertical="center" wrapText="1"/>
    </xf>
    <xf numFmtId="15" fontId="2" fillId="2" borderId="22" xfId="0" applyNumberFormat="1" applyFont="1" applyFill="1" applyBorder="1" applyAlignment="1" applyProtection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2" borderId="23" xfId="0" applyNumberFormat="1" applyFont="1" applyFill="1" applyBorder="1" applyAlignment="1">
      <alignment horizontal="center" vertical="center" wrapText="1"/>
    </xf>
    <xf numFmtId="4" fontId="1" fillId="2" borderId="22" xfId="0" applyNumberFormat="1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15" fontId="2" fillId="40" borderId="3" xfId="0" applyNumberFormat="1" applyFont="1" applyFill="1" applyBorder="1" applyAlignment="1" applyProtection="1">
      <alignment horizontal="center" vertical="center"/>
    </xf>
    <xf numFmtId="15" fontId="32" fillId="36" borderId="1" xfId="0" applyNumberFormat="1" applyFont="1" applyFill="1" applyBorder="1" applyAlignment="1" applyProtection="1">
      <alignment horizontal="center" vertical="center"/>
    </xf>
    <xf numFmtId="15" fontId="32" fillId="36" borderId="2" xfId="0" applyNumberFormat="1" applyFont="1" applyFill="1" applyBorder="1" applyAlignment="1" applyProtection="1">
      <alignment horizontal="center" vertical="center"/>
    </xf>
    <xf numFmtId="4" fontId="3" fillId="2" borderId="4" xfId="0" applyNumberFormat="1" applyFont="1" applyFill="1" applyBorder="1" applyAlignment="1">
      <alignment horizontal="right" vertical="center"/>
    </xf>
    <xf numFmtId="4" fontId="3" fillId="2" borderId="23" xfId="0" applyNumberFormat="1" applyFont="1" applyFill="1" applyBorder="1" applyAlignment="1">
      <alignment horizontal="right" vertical="center"/>
    </xf>
    <xf numFmtId="4" fontId="3" fillId="2" borderId="22" xfId="0" applyNumberFormat="1" applyFont="1" applyFill="1" applyBorder="1" applyAlignment="1">
      <alignment horizontal="right" vertical="center"/>
    </xf>
    <xf numFmtId="15" fontId="37" fillId="2" borderId="4" xfId="0" applyNumberFormat="1" applyFont="1" applyFill="1" applyBorder="1" applyAlignment="1" applyProtection="1">
      <alignment horizontal="center" vertical="center"/>
    </xf>
    <xf numFmtId="15" fontId="37" fillId="2" borderId="23" xfId="0" applyNumberFormat="1" applyFont="1" applyFill="1" applyBorder="1" applyAlignment="1" applyProtection="1">
      <alignment horizontal="center" vertical="center"/>
    </xf>
    <xf numFmtId="15" fontId="37" fillId="2" borderId="22" xfId="0" applyNumberFormat="1" applyFont="1" applyFill="1" applyBorder="1" applyAlignment="1" applyProtection="1">
      <alignment horizontal="center" vertical="center"/>
    </xf>
    <xf numFmtId="16" fontId="39" fillId="0" borderId="4" xfId="0" applyNumberFormat="1" applyFont="1" applyBorder="1" applyAlignment="1">
      <alignment horizontal="center" vertical="center"/>
    </xf>
    <xf numFmtId="16" fontId="39" fillId="0" borderId="22" xfId="0" applyNumberFormat="1" applyFont="1" applyBorder="1" applyAlignment="1">
      <alignment horizontal="center" vertical="center"/>
    </xf>
    <xf numFmtId="0" fontId="44" fillId="3" borderId="0" xfId="0" applyFont="1" applyFill="1" applyAlignment="1">
      <alignment horizontal="center"/>
    </xf>
  </cellXfs>
  <cellStyles count="68">
    <cellStyle name="20% - Énfasis1" xfId="20" builtinId="30" customBuiltin="1"/>
    <cellStyle name="20% - Énfasis1 2" xfId="48"/>
    <cellStyle name="20% - Énfasis2" xfId="24" builtinId="34" customBuiltin="1"/>
    <cellStyle name="20% - Énfasis2 2" xfId="50"/>
    <cellStyle name="20% - Énfasis3" xfId="28" builtinId="38" customBuiltin="1"/>
    <cellStyle name="20% - Énfasis3 2" xfId="52"/>
    <cellStyle name="20% - Énfasis4" xfId="32" builtinId="42" customBuiltin="1"/>
    <cellStyle name="20% - Énfasis4 2" xfId="54"/>
    <cellStyle name="20% - Énfasis5" xfId="36" builtinId="46" customBuiltin="1"/>
    <cellStyle name="20% - Énfasis5 2" xfId="56"/>
    <cellStyle name="20% - Énfasis6" xfId="40" builtinId="50" customBuiltin="1"/>
    <cellStyle name="20% - Énfasis6 2" xfId="58"/>
    <cellStyle name="40% - Énfasis1" xfId="21" builtinId="31" customBuiltin="1"/>
    <cellStyle name="40% - Énfasis1 2" xfId="49"/>
    <cellStyle name="40% - Énfasis2" xfId="25" builtinId="35" customBuiltin="1"/>
    <cellStyle name="40% - Énfasis2 2" xfId="51"/>
    <cellStyle name="40% - Énfasis3" xfId="29" builtinId="39" customBuiltin="1"/>
    <cellStyle name="40% - Énfasis3 2" xfId="53"/>
    <cellStyle name="40% - Énfasis4" xfId="33" builtinId="43" customBuiltin="1"/>
    <cellStyle name="40% - Énfasis4 2" xfId="55"/>
    <cellStyle name="40% - Énfasis5" xfId="37" builtinId="47" customBuiltin="1"/>
    <cellStyle name="40% - Énfasis5 2" xfId="57"/>
    <cellStyle name="40% - Énfasis6" xfId="41" builtinId="51" customBuiltin="1"/>
    <cellStyle name="40% - Énfasis6 2" xfId="59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2" xfId="66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5"/>
    <cellStyle name="Millares 2 2" xfId="65"/>
    <cellStyle name="Millares 3" xfId="61"/>
    <cellStyle name="Millares 4" xfId="63"/>
    <cellStyle name="Moneda" xfId="67" builtinId="4"/>
    <cellStyle name="Moneda 2" xfId="46"/>
    <cellStyle name="Moneda 3" xfId="62"/>
    <cellStyle name="Neutral" xfId="9" builtinId="28" customBuiltin="1"/>
    <cellStyle name="Normal" xfId="0" builtinId="0"/>
    <cellStyle name="Normal 2" xfId="44"/>
    <cellStyle name="Normal 3" xfId="43"/>
    <cellStyle name="Normal 3 2" xfId="64"/>
    <cellStyle name="Notas" xfId="16" builtinId="10" customBuiltin="1"/>
    <cellStyle name="Notas 2" xfId="47"/>
    <cellStyle name="Porcentaje" xfId="60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890">
    <dxf>
      <font>
        <b/>
        <i val="0"/>
        <color rgb="FFFFFFFF"/>
      </font>
      <fill>
        <patternFill>
          <bgColor rgb="FF963634"/>
        </patternFill>
      </fill>
    </dxf>
    <dxf>
      <font>
        <b/>
        <i val="0"/>
        <color rgb="FFFFFFFF"/>
      </font>
      <fill>
        <patternFill>
          <bgColor rgb="FF963634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auto="1"/>
      </font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</dxfs>
  <tableStyles count="0" defaultTableStyle="TableStyleMedium9" defaultPivotStyle="PivotStyleLight16"/>
  <colors>
    <mruColors>
      <color rgb="FFFFFF99"/>
      <color rgb="FFFFFF66"/>
      <color rgb="FFAEC5E0"/>
      <color rgb="FFFF99FF"/>
      <color rgb="FFFF00FF"/>
      <color rgb="FF98B5D8"/>
      <color rgb="FF769DCC"/>
      <color rgb="FF8FAFD5"/>
      <color rgb="FFAAC2DE"/>
      <color rgb="FFA1B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5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3.xml"/><Relationship Id="rId81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%20COMEX%20RT\R%20TRADING%20S.A\FERTILIZANTES\OTROS%20CONTROLES\FERTILIZANTES\EMBARQUES%20FERT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a%20COMEX%20EQUILIBRA\FERTILIZANTES\COMPRA%20LOCAL\COMPRAS%20LOCALES%20-%20EQUILIB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COMEX%20EQUILIBRA\I.%20Fertilizantes\2.%20Compras%20Locales\Control%20de%20Compras%20locales%20-%20Equilibra%20-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a%20COMEX%20EQUILIBRA\FERTILIZANTES\IMPORTACIONES\Control%20de%20embarques%20-%20Equilibr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COMEX%20EQUILIBRA\I.%20Fertilizantes\5.%20Reportes%20Compras%20y%20Comex\5.3.%20Reportes%20Silvanna%20Cervantes\Provisi&#243;n%20de%20Pago%20de%20DUA'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"/>
      <sheetName val="IMPORTS"/>
      <sheetName val="PED&amp;ANT"/>
      <sheetName val="DCMNTO &amp; DESPACHO"/>
      <sheetName val="DOCS ENTREGADOS"/>
      <sheetName val="DOCS RECIBIDOS"/>
      <sheetName val="DAM"/>
      <sheetName val="ARNOLD"/>
    </sheetNames>
    <sheetDataSet>
      <sheetData sheetId="0">
        <row r="1">
          <cell r="A1" t="str">
            <v>AMEROPA</v>
          </cell>
          <cell r="C1" t="str">
            <v>Ácido Fosfórico</v>
          </cell>
          <cell r="O1" t="str">
            <v>EXW</v>
          </cell>
          <cell r="S1" t="str">
            <v>PAITA</v>
          </cell>
        </row>
        <row r="2">
          <cell r="A2" t="str">
            <v>CHANGSHA GREEN MOUNTAIN CHEMICAL CO</v>
          </cell>
          <cell r="C2" t="str">
            <v>Cloruro de Potasio Blanco Estandar</v>
          </cell>
          <cell r="O2" t="str">
            <v>FCA</v>
          </cell>
          <cell r="S2" t="str">
            <v>SALAVERRY</v>
          </cell>
        </row>
        <row r="3">
          <cell r="A3" t="str">
            <v>ENTRO CO</v>
          </cell>
          <cell r="C3" t="str">
            <v>Cloruro de Potasio Rojo Granular</v>
          </cell>
          <cell r="O3" t="str">
            <v>FAS</v>
          </cell>
          <cell r="S3" t="str">
            <v>CALLAO</v>
          </cell>
        </row>
        <row r="4">
          <cell r="A4" t="str">
            <v>DISAN (KEYTRADE)</v>
          </cell>
          <cell r="C4" t="str">
            <v>Fosfato Diamónico Granular</v>
          </cell>
          <cell r="O4" t="str">
            <v>FOB</v>
          </cell>
          <cell r="S4" t="str">
            <v>PISCO</v>
          </cell>
        </row>
        <row r="5">
          <cell r="A5" t="str">
            <v>DOYLE EQUIPMENT MANUFACTURING CO</v>
          </cell>
          <cell r="C5" t="str">
            <v>Fosfato Monoamónico Granular</v>
          </cell>
          <cell r="O5" t="str">
            <v>CFR</v>
          </cell>
          <cell r="S5" t="str">
            <v>MATARANI</v>
          </cell>
        </row>
        <row r="6">
          <cell r="A6" t="str">
            <v>GLOBAL MARKET FERTILIZER AG</v>
          </cell>
          <cell r="C6" t="str">
            <v>Fosfato Monoamónico Cristalizado</v>
          </cell>
          <cell r="O6" t="str">
            <v>CPT</v>
          </cell>
        </row>
        <row r="7">
          <cell r="A7" t="str">
            <v xml:space="preserve">HELIOPOTASSE SA  </v>
          </cell>
          <cell r="C7" t="str">
            <v>Mezcladora</v>
          </cell>
          <cell r="O7" t="str">
            <v>CIF</v>
          </cell>
        </row>
        <row r="8">
          <cell r="A8" t="str">
            <v>HELMAG</v>
          </cell>
          <cell r="C8" t="str">
            <v>Microelemento Sfera 1 a Granel</v>
          </cell>
          <cell r="O8" t="str">
            <v>CIP</v>
          </cell>
        </row>
        <row r="9">
          <cell r="A9" t="str">
            <v>ICL EUROPE COOPERATIEF U.A.</v>
          </cell>
          <cell r="C9" t="str">
            <v>Microelemento Sfera 4 a Granel</v>
          </cell>
          <cell r="O9" t="str">
            <v>DAT</v>
          </cell>
        </row>
        <row r="10">
          <cell r="A10" t="str">
            <v>INDAGRO</v>
          </cell>
          <cell r="C10" t="str">
            <v>Microelemento Sfera 5 a Granel</v>
          </cell>
          <cell r="O10" t="str">
            <v>DAP</v>
          </cell>
        </row>
        <row r="11">
          <cell r="A11" t="str">
            <v>JM FERTILIZER</v>
          </cell>
          <cell r="C11" t="str">
            <v>Microelemento Sfera B32 a Granel</v>
          </cell>
          <cell r="O11" t="str">
            <v>DDP</v>
          </cell>
        </row>
        <row r="12">
          <cell r="A12" t="str">
            <v>KEYTRADE</v>
          </cell>
          <cell r="C12" t="str">
            <v>Nitrato de Amonio</v>
          </cell>
        </row>
        <row r="13">
          <cell r="A13" t="str">
            <v>KIRNS</v>
          </cell>
          <cell r="C13" t="str">
            <v>Nitrato de Calcio</v>
          </cell>
        </row>
        <row r="14">
          <cell r="A14" t="str">
            <v>MITSUI &amp; CO., (USA) INC</v>
          </cell>
          <cell r="C14" t="str">
            <v>Nitrato de Calcio y Amonio</v>
          </cell>
        </row>
        <row r="15">
          <cell r="A15" t="str">
            <v>NEW CHINA CHEMICALS CO., LTD.</v>
          </cell>
          <cell r="C15" t="str">
            <v>Nitrato de Magnesio Hexahidratado</v>
          </cell>
        </row>
        <row r="16">
          <cell r="A16" t="str">
            <v>NITRON GROUP CORPORATION</v>
          </cell>
          <cell r="C16" t="str">
            <v>Nitrato de Potasio</v>
          </cell>
        </row>
        <row r="17">
          <cell r="A17" t="str">
            <v>NITRON INTERNATIONAL CORPORATION</v>
          </cell>
          <cell r="C17" t="str">
            <v>NPK 16-16-16 Granular</v>
          </cell>
        </row>
        <row r="18">
          <cell r="A18" t="str">
            <v>NORBRIGHT INDUSTRY CO., LTD.</v>
          </cell>
          <cell r="C18" t="str">
            <v>NPK 31-3-3</v>
          </cell>
        </row>
        <row r="19">
          <cell r="A19" t="str">
            <v>QUIMTIA LIMITED</v>
          </cell>
          <cell r="C19" t="str">
            <v>NYield Aditivo</v>
          </cell>
        </row>
        <row r="20">
          <cell r="A20" t="str">
            <v>ROTEM AMFERT NEGEV LTD (NovaPeak)</v>
          </cell>
          <cell r="C20" t="str">
            <v>Pekacid</v>
          </cell>
        </row>
        <row r="21">
          <cell r="A21" t="str">
            <v>TEUTÓN</v>
          </cell>
          <cell r="C21" t="str">
            <v>Polisulfato</v>
          </cell>
        </row>
        <row r="22">
          <cell r="A22" t="str">
            <v>TIMAB</v>
          </cell>
          <cell r="C22" t="str">
            <v>Sal doble de Nitrato de Calcio y Amonio</v>
          </cell>
        </row>
        <row r="23">
          <cell r="A23" t="str">
            <v>TOYOTA TSUSHO CORPORATION</v>
          </cell>
          <cell r="C23" t="str">
            <v>Sulfato de Amonio Estándar</v>
          </cell>
        </row>
        <row r="24">
          <cell r="A24" t="str">
            <v>URALKALI</v>
          </cell>
          <cell r="C24" t="str">
            <v>Sulfato de Amonio Granular</v>
          </cell>
        </row>
        <row r="25">
          <cell r="A25" t="str">
            <v>WITTRACO DÜNGEMITTEL GmbH</v>
          </cell>
          <cell r="C25" t="str">
            <v>Sulfato de Cobre Pentahidratado</v>
          </cell>
        </row>
        <row r="26">
          <cell r="C26" t="str">
            <v>Sulfato de Magnesio Heptahidratado</v>
          </cell>
        </row>
        <row r="27">
          <cell r="C27" t="str">
            <v>Sulfato de Magnesio Monohidratado Granular (KIESERITA)</v>
          </cell>
        </row>
        <row r="28">
          <cell r="C28" t="str">
            <v>Sulfato de Potasio Granular</v>
          </cell>
        </row>
        <row r="29">
          <cell r="C29" t="str">
            <v>Sulfato de Potasio Soluble</v>
          </cell>
        </row>
        <row r="30">
          <cell r="C30" t="str">
            <v>Sulfato de Zinc Heptahidratado</v>
          </cell>
        </row>
        <row r="31">
          <cell r="C31" t="str">
            <v>Urea Granulada</v>
          </cell>
        </row>
        <row r="32">
          <cell r="C32" t="str">
            <v>Urea Perlada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"/>
      <sheetName val="COMPRAS LOCALES"/>
      <sheetName val="DOCS RECIBIDOS"/>
      <sheetName val="SGACRO"/>
      <sheetName val="PLANTILLA"/>
      <sheetName val="Hoja5"/>
      <sheetName val="Hoja3"/>
      <sheetName val="Hoja1"/>
      <sheetName val="Hoja2"/>
      <sheetName val="Hoja4"/>
      <sheetName val="Hoja6"/>
    </sheetNames>
    <sheetDataSet>
      <sheetData sheetId="0">
        <row r="1">
          <cell r="A1" t="str">
            <v>BLUE LAND</v>
          </cell>
        </row>
      </sheetData>
      <sheetData sheetId="1">
        <row r="1">
          <cell r="B1" t="str">
            <v># CL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"/>
      <sheetName val="PLANTILLA"/>
      <sheetName val="COMPRAS LOCALES"/>
      <sheetName val="Hoja4"/>
      <sheetName val="Hoja3"/>
      <sheetName val="DOCS RECIBIDOS"/>
      <sheetName val="SGACRO"/>
      <sheetName val="Hoja2"/>
      <sheetName val="Hoja1"/>
      <sheetName val="Hoja5"/>
      <sheetName val="Hoja6"/>
      <sheetName val="TONELADAS POR PRODUCTO"/>
      <sheetName val="PRODUCTOS NACIONALES"/>
      <sheetName val="PRODUCTOS NACIONALES-IMPORTADOS"/>
      <sheetName val="CANTIDAD DE OC POR PROVEEDOR"/>
      <sheetName val="CANTIDAD DE OC POR AÑO"/>
      <sheetName val="TONELADAS COMPRADAS POR MES"/>
      <sheetName val="COAS"/>
      <sheetName val="OTIF - COMPRAS LOCALES"/>
      <sheetName val="Hoja7"/>
      <sheetName val="MART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"/>
      <sheetName val="IMPORTS"/>
      <sheetName val="prueba de edicion"/>
      <sheetName val="DAM"/>
      <sheetName val="DOCS ENTREGADOS"/>
      <sheetName val="INGRESOS OC's"/>
      <sheetName val="PED&amp;ANT"/>
      <sheetName val="PLANTILLAS"/>
      <sheetName val="FAM-CLASS"/>
      <sheetName val="REPORTE DE EMBARQUE"/>
      <sheetName val="ABC"/>
      <sheetName val="SOL. UPDATE PROV"/>
      <sheetName val="Hoja1"/>
      <sheetName val="Hoja2"/>
      <sheetName val="Hoja3"/>
    </sheetNames>
    <sheetDataSet>
      <sheetData sheetId="0"/>
      <sheetData sheetId="1">
        <row r="1">
          <cell r="B1" t="str">
            <v>FAMILIA-TIPO</v>
          </cell>
          <cell r="C1" t="str">
            <v>M #</v>
          </cell>
          <cell r="E1" t="str">
            <v>PRODUCTO</v>
          </cell>
          <cell r="F1" t="str">
            <v>PROVEEDOR</v>
          </cell>
          <cell r="P1" t="str">
            <v>CANTIDAD TM</v>
          </cell>
          <cell r="R1" t="str">
            <v>INCOTERM</v>
          </cell>
          <cell r="S1" t="str">
            <v>USD x TM</v>
          </cell>
          <cell r="Y1" t="str">
            <v xml:space="preserve">ETA </v>
          </cell>
          <cell r="AF1" t="str">
            <v xml:space="preserve">PTO LLEGADA </v>
          </cell>
        </row>
        <row r="2">
          <cell r="C2" t="str">
            <v>(VS)MF-009A/17</v>
          </cell>
          <cell r="E2" t="str">
            <v>CLORURO DE POTASIO ROJO GRANULAR</v>
          </cell>
          <cell r="F2" t="str">
            <v>NITRON GROUP CORPORATION</v>
          </cell>
          <cell r="P2">
            <v>200</v>
          </cell>
          <cell r="R2" t="str">
            <v>CFR</v>
          </cell>
          <cell r="S2">
            <v>241</v>
          </cell>
          <cell r="Y2">
            <v>42900</v>
          </cell>
          <cell r="AF2" t="str">
            <v>PAITA</v>
          </cell>
        </row>
        <row r="3">
          <cell r="C3" t="str">
            <v>(VS)MF-009B/17</v>
          </cell>
          <cell r="E3" t="str">
            <v>CLORURO DE POTASIO ROJO GRANULAR</v>
          </cell>
          <cell r="F3" t="str">
            <v>NITRON GROUP CORPORATION</v>
          </cell>
          <cell r="P3">
            <v>300</v>
          </cell>
          <cell r="R3" t="str">
            <v>CFR</v>
          </cell>
          <cell r="S3">
            <v>241</v>
          </cell>
          <cell r="Y3">
            <v>42907</v>
          </cell>
          <cell r="AF3" t="str">
            <v>SALAVERRY</v>
          </cell>
        </row>
        <row r="4">
          <cell r="C4" t="str">
            <v>(VS)MF-009C/17</v>
          </cell>
          <cell r="E4" t="str">
            <v>CLORURO DE POTASIO ROJO GRANULAR</v>
          </cell>
          <cell r="F4" t="str">
            <v>NITRON GROUP CORPORATION</v>
          </cell>
          <cell r="P4">
            <v>3700</v>
          </cell>
          <cell r="R4" t="str">
            <v>CFR</v>
          </cell>
          <cell r="S4">
            <v>241</v>
          </cell>
          <cell r="Y4">
            <v>42909</v>
          </cell>
          <cell r="AF4" t="str">
            <v>CALLAO</v>
          </cell>
        </row>
        <row r="5">
          <cell r="C5" t="str">
            <v>(VS)MF-009D/17</v>
          </cell>
          <cell r="E5" t="str">
            <v>CLORURO DE POTASIO ROJO GRANULAR</v>
          </cell>
          <cell r="F5" t="str">
            <v>NITRON GROUP CORPORATION</v>
          </cell>
          <cell r="P5">
            <v>700</v>
          </cell>
          <cell r="R5" t="str">
            <v>CFR</v>
          </cell>
          <cell r="S5">
            <v>241</v>
          </cell>
          <cell r="Y5">
            <v>42912</v>
          </cell>
          <cell r="AF5" t="str">
            <v>PISCO</v>
          </cell>
        </row>
        <row r="6">
          <cell r="C6" t="str">
            <v>(VS)MF-009E/17</v>
          </cell>
          <cell r="E6" t="str">
            <v>CLORURO DE POTASIO ROJO GRANULAR</v>
          </cell>
          <cell r="F6" t="str">
            <v>NITRON GROUP CORPORATION</v>
          </cell>
          <cell r="P6">
            <v>600</v>
          </cell>
          <cell r="R6" t="str">
            <v>CFR</v>
          </cell>
          <cell r="S6">
            <v>241</v>
          </cell>
          <cell r="Y6">
            <v>42917</v>
          </cell>
          <cell r="AF6" t="str">
            <v>MATARANI</v>
          </cell>
        </row>
        <row r="7">
          <cell r="C7" t="str">
            <v>(VS)MF-011A/17</v>
          </cell>
          <cell r="E7" t="str">
            <v>SULFATO DE POTASIO GRANULAR</v>
          </cell>
          <cell r="F7" t="str">
            <v>WITTRACO DÜNGEMITTEL GmbH</v>
          </cell>
          <cell r="P7">
            <v>144</v>
          </cell>
          <cell r="R7" t="str">
            <v>CFR</v>
          </cell>
          <cell r="S7">
            <v>485</v>
          </cell>
          <cell r="Y7">
            <v>42922</v>
          </cell>
          <cell r="AF7" t="str">
            <v>CALLAO</v>
          </cell>
        </row>
        <row r="8">
          <cell r="C8" t="str">
            <v>(VS)MF-014B/17</v>
          </cell>
          <cell r="E8" t="str">
            <v>SULFATO DE ZINC HEPTAHIDRATADO</v>
          </cell>
          <cell r="F8" t="str">
            <v>AMEROPA</v>
          </cell>
          <cell r="P8">
            <v>54</v>
          </cell>
          <cell r="R8" t="str">
            <v>CFR</v>
          </cell>
          <cell r="S8">
            <v>550.29</v>
          </cell>
          <cell r="Y8">
            <v>42884</v>
          </cell>
          <cell r="AF8" t="str">
            <v>PAITA</v>
          </cell>
        </row>
        <row r="9">
          <cell r="C9" t="str">
            <v>(VS)MF-019/17</v>
          </cell>
          <cell r="E9" t="str">
            <v>SULFATO DE POTASIO SOLUBLE</v>
          </cell>
          <cell r="F9" t="str">
            <v>KEYTRADE</v>
          </cell>
          <cell r="P9">
            <v>350</v>
          </cell>
          <cell r="R9" t="str">
            <v>CPT</v>
          </cell>
          <cell r="S9">
            <v>505</v>
          </cell>
          <cell r="Y9">
            <v>42893</v>
          </cell>
          <cell r="AF9" t="str">
            <v>PAITA</v>
          </cell>
        </row>
        <row r="10">
          <cell r="C10" t="str">
            <v>(VS)MF-022/17</v>
          </cell>
          <cell r="E10" t="str">
            <v>SULFATO DE POTASIO SOLUBLE</v>
          </cell>
          <cell r="F10" t="str">
            <v>KEYTRADE</v>
          </cell>
          <cell r="P10">
            <v>100</v>
          </cell>
          <cell r="R10" t="str">
            <v>CPT</v>
          </cell>
          <cell r="S10">
            <v>500</v>
          </cell>
          <cell r="Y10">
            <v>42890</v>
          </cell>
          <cell r="AF10" t="str">
            <v>CALLAO</v>
          </cell>
        </row>
        <row r="11">
          <cell r="C11" t="str">
            <v>(VS)MF-023/17</v>
          </cell>
          <cell r="E11" t="str">
            <v>SULFATO DE POTASIO SOLUBLE</v>
          </cell>
          <cell r="F11" t="str">
            <v>KEYTRADE</v>
          </cell>
          <cell r="P11">
            <v>100</v>
          </cell>
          <cell r="R11" t="str">
            <v>CPT</v>
          </cell>
          <cell r="S11">
            <v>500</v>
          </cell>
          <cell r="Y11">
            <v>42910</v>
          </cell>
          <cell r="AF11" t="str">
            <v>CALLAO</v>
          </cell>
        </row>
        <row r="12">
          <cell r="C12" t="str">
            <v>(VS)MF-047/17</v>
          </cell>
          <cell r="E12" t="str">
            <v>AGROCOTE 38-3-3</v>
          </cell>
          <cell r="F12" t="str">
            <v>EVERRIS INTERNATIONAL B.V.</v>
          </cell>
          <cell r="P12">
            <v>38.1</v>
          </cell>
          <cell r="R12" t="str">
            <v>CIF</v>
          </cell>
          <cell r="S12">
            <v>1025.32</v>
          </cell>
          <cell r="Y12">
            <v>42909</v>
          </cell>
          <cell r="AF12" t="str">
            <v>CALLAO</v>
          </cell>
        </row>
        <row r="13">
          <cell r="C13" t="str">
            <v>(VS)MF-048B/17</v>
          </cell>
          <cell r="E13" t="str">
            <v>NITRATO DE AMONIO</v>
          </cell>
          <cell r="F13" t="str">
            <v>YARA</v>
          </cell>
          <cell r="P13">
            <v>150</v>
          </cell>
          <cell r="R13" t="str">
            <v>CFR</v>
          </cell>
          <cell r="S13">
            <v>260</v>
          </cell>
          <cell r="Y13">
            <v>42881</v>
          </cell>
          <cell r="AF13" t="str">
            <v>SALAVERRY</v>
          </cell>
        </row>
        <row r="14">
          <cell r="C14" t="str">
            <v>(VS)MF-048C/17</v>
          </cell>
          <cell r="E14" t="str">
            <v>NITRATO DE AMONIO</v>
          </cell>
          <cell r="F14" t="str">
            <v>YARA</v>
          </cell>
          <cell r="P14">
            <v>550</v>
          </cell>
          <cell r="R14" t="str">
            <v>CFR</v>
          </cell>
          <cell r="S14">
            <v>260</v>
          </cell>
          <cell r="Y14">
            <v>42887</v>
          </cell>
          <cell r="AF14" t="str">
            <v>CALLAO</v>
          </cell>
        </row>
        <row r="15">
          <cell r="C15" t="str">
            <v>(VS)MF-048D/17</v>
          </cell>
          <cell r="E15" t="str">
            <v>NITRATO DE AMONIO</v>
          </cell>
          <cell r="F15" t="str">
            <v>YARA</v>
          </cell>
          <cell r="P15">
            <v>150</v>
          </cell>
          <cell r="R15" t="str">
            <v>CFR</v>
          </cell>
          <cell r="S15">
            <v>260</v>
          </cell>
          <cell r="Y15">
            <v>42889</v>
          </cell>
          <cell r="AF15" t="str">
            <v>PISCO</v>
          </cell>
        </row>
        <row r="16">
          <cell r="C16" t="str">
            <v>(VS)MF-048E/17</v>
          </cell>
          <cell r="E16" t="str">
            <v>NITRATO DE AMONIO</v>
          </cell>
          <cell r="F16" t="str">
            <v>YARA</v>
          </cell>
          <cell r="P16">
            <v>250</v>
          </cell>
          <cell r="R16" t="str">
            <v>CFR</v>
          </cell>
          <cell r="S16">
            <v>260</v>
          </cell>
          <cell r="Y16">
            <v>42893</v>
          </cell>
          <cell r="AF16" t="str">
            <v>MATARANI</v>
          </cell>
        </row>
        <row r="17">
          <cell r="C17" t="str">
            <v>(VS)MF-049A/17</v>
          </cell>
          <cell r="E17" t="str">
            <v>NITRATO DE AMONIO</v>
          </cell>
          <cell r="F17" t="str">
            <v>GAVILON</v>
          </cell>
          <cell r="P17">
            <v>300</v>
          </cell>
          <cell r="R17" t="str">
            <v>CFR</v>
          </cell>
          <cell r="S17">
            <v>248</v>
          </cell>
          <cell r="Y17">
            <v>42894</v>
          </cell>
          <cell r="AF17" t="str">
            <v>PAITA</v>
          </cell>
        </row>
        <row r="18">
          <cell r="C18" t="str">
            <v>(VS)MF-049B/17</v>
          </cell>
          <cell r="E18" t="str">
            <v>NITRATO DE AMONIO</v>
          </cell>
          <cell r="F18" t="str">
            <v>GAVILON</v>
          </cell>
          <cell r="P18">
            <v>750</v>
          </cell>
          <cell r="R18" t="str">
            <v>CFR</v>
          </cell>
          <cell r="S18">
            <v>248</v>
          </cell>
          <cell r="Y18">
            <v>42897</v>
          </cell>
          <cell r="AF18" t="str">
            <v>SALAVERRY</v>
          </cell>
        </row>
        <row r="19">
          <cell r="C19" t="str">
            <v>(VS)MF-049C/17</v>
          </cell>
          <cell r="E19" t="str">
            <v>NITRATO DE AMONIO</v>
          </cell>
          <cell r="F19" t="str">
            <v>GAVILON</v>
          </cell>
          <cell r="P19">
            <v>1350</v>
          </cell>
          <cell r="R19" t="str">
            <v>CFR</v>
          </cell>
          <cell r="S19">
            <v>248</v>
          </cell>
          <cell r="Y19">
            <v>42908</v>
          </cell>
          <cell r="AF19" t="str">
            <v>CALLAO</v>
          </cell>
        </row>
        <row r="20">
          <cell r="C20" t="str">
            <v>(VS)MF-049D/17</v>
          </cell>
          <cell r="E20" t="str">
            <v>NITRATO DE AMONIO</v>
          </cell>
          <cell r="F20" t="str">
            <v>GAVILON</v>
          </cell>
          <cell r="P20">
            <v>700</v>
          </cell>
          <cell r="R20" t="str">
            <v>CFR</v>
          </cell>
          <cell r="S20">
            <v>248</v>
          </cell>
          <cell r="Y20">
            <v>42915</v>
          </cell>
          <cell r="AF20" t="str">
            <v>PISCO</v>
          </cell>
        </row>
        <row r="21">
          <cell r="C21" t="str">
            <v>(VS)MF-049E/17</v>
          </cell>
          <cell r="E21" t="str">
            <v>NITRATO DE AMONIO</v>
          </cell>
          <cell r="F21" t="str">
            <v>GAVILON</v>
          </cell>
          <cell r="P21">
            <v>900</v>
          </cell>
          <cell r="R21" t="str">
            <v>CFR</v>
          </cell>
          <cell r="S21">
            <v>248</v>
          </cell>
          <cell r="Y21">
            <v>42917</v>
          </cell>
          <cell r="AF21" t="str">
            <v>MATARANI</v>
          </cell>
        </row>
        <row r="22">
          <cell r="C22" t="str">
            <v>(VS)MF-050A/17</v>
          </cell>
          <cell r="E22" t="str">
            <v>UREA PERLADA</v>
          </cell>
          <cell r="F22" t="str">
            <v>GAVILON</v>
          </cell>
          <cell r="P22">
            <v>1180</v>
          </cell>
          <cell r="R22" t="str">
            <v>CFR</v>
          </cell>
          <cell r="S22">
            <v>259</v>
          </cell>
          <cell r="Y22">
            <v>42894</v>
          </cell>
          <cell r="AF22" t="str">
            <v>PAITA</v>
          </cell>
        </row>
        <row r="23">
          <cell r="C23" t="str">
            <v>(VS)MF-050B/17</v>
          </cell>
          <cell r="E23" t="str">
            <v>UREA PERLADA</v>
          </cell>
          <cell r="F23" t="str">
            <v>GAVILON</v>
          </cell>
          <cell r="P23">
            <v>1000</v>
          </cell>
          <cell r="R23" t="str">
            <v>CFR</v>
          </cell>
          <cell r="S23">
            <v>259</v>
          </cell>
          <cell r="Y23">
            <v>42897</v>
          </cell>
          <cell r="AF23" t="str">
            <v>SALAVERRY</v>
          </cell>
        </row>
        <row r="24">
          <cell r="C24" t="str">
            <v>(VS)MF-050C/17</v>
          </cell>
          <cell r="E24" t="str">
            <v>UREA PERLADA</v>
          </cell>
          <cell r="F24" t="str">
            <v>GAVILON</v>
          </cell>
          <cell r="P24">
            <v>1550</v>
          </cell>
          <cell r="R24" t="str">
            <v>CFR</v>
          </cell>
          <cell r="S24">
            <v>259</v>
          </cell>
          <cell r="Y24">
            <v>42908</v>
          </cell>
          <cell r="AF24" t="str">
            <v>CALLAO</v>
          </cell>
        </row>
        <row r="25">
          <cell r="C25" t="str">
            <v>(VS)MF-050D/17</v>
          </cell>
          <cell r="E25" t="str">
            <v>UREA PERLADA</v>
          </cell>
          <cell r="F25" t="str">
            <v>GAVILON</v>
          </cell>
          <cell r="P25">
            <v>280</v>
          </cell>
          <cell r="R25" t="str">
            <v>CFR</v>
          </cell>
          <cell r="S25">
            <v>259</v>
          </cell>
          <cell r="Y25">
            <v>42915</v>
          </cell>
          <cell r="AF25" t="str">
            <v>PISCO</v>
          </cell>
        </row>
        <row r="26">
          <cell r="C26" t="str">
            <v>(VS)MF-050E/17</v>
          </cell>
          <cell r="E26" t="str">
            <v>UREA PERLADA</v>
          </cell>
          <cell r="F26" t="str">
            <v>GAVILON</v>
          </cell>
          <cell r="P26">
            <v>525.64</v>
          </cell>
          <cell r="R26" t="str">
            <v>CFR</v>
          </cell>
          <cell r="S26">
            <v>259</v>
          </cell>
          <cell r="Y26">
            <v>42917</v>
          </cell>
          <cell r="AF26" t="str">
            <v>MATARANI</v>
          </cell>
        </row>
        <row r="27">
          <cell r="C27" t="str">
            <v>(VS)MF-051/17</v>
          </cell>
          <cell r="E27" t="str">
            <v>SULFATO DE POTASIO GRANULAR</v>
          </cell>
          <cell r="F27" t="str">
            <v>WITTRACO DÜNGEMITTEL GmbH</v>
          </cell>
          <cell r="P27">
            <v>120</v>
          </cell>
          <cell r="R27" t="str">
            <v>CFR</v>
          </cell>
          <cell r="S27">
            <v>485</v>
          </cell>
          <cell r="Y27">
            <v>42915</v>
          </cell>
          <cell r="AF27" t="str">
            <v>CALLAO</v>
          </cell>
        </row>
        <row r="28">
          <cell r="C28" t="str">
            <v>(VS)MF-059A/17</v>
          </cell>
          <cell r="E28" t="str">
            <v>CLORURO DE POTASIO BLANCO ESTANDAR</v>
          </cell>
          <cell r="F28" t="str">
            <v>NITRON GROUP CORPORATION</v>
          </cell>
          <cell r="P28">
            <v>340</v>
          </cell>
          <cell r="R28" t="str">
            <v>CFR</v>
          </cell>
          <cell r="S28">
            <v>243</v>
          </cell>
          <cell r="Y28">
            <v>42900</v>
          </cell>
          <cell r="AF28" t="str">
            <v>PAITA</v>
          </cell>
        </row>
        <row r="29">
          <cell r="C29" t="str">
            <v>(VS)MF-059B/17</v>
          </cell>
          <cell r="E29" t="str">
            <v>CLORURO DE POTASIO BLANCO ESTANDAR</v>
          </cell>
          <cell r="F29" t="str">
            <v>NITRON GROUP CORPORATION</v>
          </cell>
          <cell r="P29">
            <v>970</v>
          </cell>
          <cell r="R29" t="str">
            <v>CFR</v>
          </cell>
          <cell r="S29">
            <v>243</v>
          </cell>
          <cell r="Y29">
            <v>42907</v>
          </cell>
          <cell r="AF29" t="str">
            <v>SALAVERRY</v>
          </cell>
        </row>
        <row r="30">
          <cell r="C30" t="str">
            <v>(VS)MF-059C/17</v>
          </cell>
          <cell r="E30" t="str">
            <v>CLORURO DE POTASIO BLANCO ESTANDAR</v>
          </cell>
          <cell r="F30" t="str">
            <v>NITRON GROUP CORPORATION</v>
          </cell>
          <cell r="P30">
            <v>140</v>
          </cell>
          <cell r="R30" t="str">
            <v>CFR</v>
          </cell>
          <cell r="S30">
            <v>243</v>
          </cell>
          <cell r="Y30">
            <v>42917</v>
          </cell>
          <cell r="AF30" t="str">
            <v>MATARANI</v>
          </cell>
        </row>
        <row r="31">
          <cell r="C31" t="str">
            <v>MF-001/17</v>
          </cell>
          <cell r="E31" t="str">
            <v>SULFATO DE POTASIO GRANULAR</v>
          </cell>
          <cell r="F31" t="str">
            <v xml:space="preserve">K+S KALI GMBH </v>
          </cell>
          <cell r="P31">
            <v>112.006</v>
          </cell>
          <cell r="R31" t="str">
            <v>CPT</v>
          </cell>
          <cell r="S31">
            <v>510</v>
          </cell>
          <cell r="Y31">
            <v>42913</v>
          </cell>
          <cell r="AF31" t="str">
            <v>PAITA</v>
          </cell>
        </row>
        <row r="32">
          <cell r="C32" t="str">
            <v>MF-002/17</v>
          </cell>
          <cell r="E32" t="str">
            <v>SULFATO DE POTASIO SOLUBLE</v>
          </cell>
          <cell r="F32" t="str">
            <v xml:space="preserve">K+S ASIA PACIFIC PTE LTD                        </v>
          </cell>
          <cell r="P32">
            <v>24</v>
          </cell>
          <cell r="R32" t="str">
            <v>CPT</v>
          </cell>
          <cell r="S32">
            <v>500</v>
          </cell>
          <cell r="Y32">
            <v>42946</v>
          </cell>
          <cell r="AF32" t="str">
            <v>CALLAO</v>
          </cell>
        </row>
        <row r="33">
          <cell r="C33" t="str">
            <v>MF-003/17</v>
          </cell>
          <cell r="E33" t="str">
            <v>SULFATO DE POTASIO SOLUBLE</v>
          </cell>
          <cell r="F33" t="str">
            <v xml:space="preserve">K+S ASIA PACIFIC PTE LTD                        </v>
          </cell>
          <cell r="P33">
            <v>24</v>
          </cell>
          <cell r="R33" t="str">
            <v>CPT</v>
          </cell>
          <cell r="S33">
            <v>500</v>
          </cell>
          <cell r="Y33">
            <v>42954</v>
          </cell>
          <cell r="AF33" t="str">
            <v>PAITA</v>
          </cell>
        </row>
        <row r="34">
          <cell r="C34" t="str">
            <v>MF-004/17</v>
          </cell>
          <cell r="E34" t="str">
            <v>SULFATO DE POTASIO SOLUBLE</v>
          </cell>
          <cell r="F34" t="str">
            <v>KEYTRADE</v>
          </cell>
          <cell r="P34">
            <v>375</v>
          </cell>
          <cell r="R34" t="str">
            <v>CPT</v>
          </cell>
          <cell r="S34">
            <v>505</v>
          </cell>
          <cell r="Y34">
            <v>42929</v>
          </cell>
          <cell r="AF34" t="str">
            <v>PAITA</v>
          </cell>
        </row>
        <row r="35">
          <cell r="C35" t="str">
            <v>MF-005/17</v>
          </cell>
          <cell r="E35" t="str">
            <v>SULFATO DE POTASIO SOLUBLE</v>
          </cell>
          <cell r="F35" t="str">
            <v>KEYTRADE</v>
          </cell>
          <cell r="P35">
            <v>475</v>
          </cell>
          <cell r="R35" t="str">
            <v>CPT</v>
          </cell>
          <cell r="S35">
            <v>505</v>
          </cell>
          <cell r="Y35">
            <v>42964</v>
          </cell>
          <cell r="AF35" t="str">
            <v>PAITA</v>
          </cell>
        </row>
        <row r="36">
          <cell r="C36" t="str">
            <v>MF-006/17</v>
          </cell>
          <cell r="E36" t="str">
            <v>SULFATO DE ZINC HEPTAHIDRATADO</v>
          </cell>
          <cell r="F36" t="str">
            <v>AMEROPA (ZINSA)</v>
          </cell>
          <cell r="P36">
            <v>0</v>
          </cell>
          <cell r="R36">
            <v>0</v>
          </cell>
          <cell r="S36">
            <v>0</v>
          </cell>
          <cell r="Y36">
            <v>0</v>
          </cell>
          <cell r="AF36">
            <v>0</v>
          </cell>
        </row>
        <row r="37">
          <cell r="C37" t="str">
            <v>MF-007/17</v>
          </cell>
          <cell r="E37" t="str">
            <v>SAL DOBLE DE NITRATO DE CALCIO Y AMONIO</v>
          </cell>
          <cell r="F37" t="str">
            <v>KEYTRADE</v>
          </cell>
          <cell r="P37">
            <v>180</v>
          </cell>
          <cell r="R37" t="str">
            <v>CPT</v>
          </cell>
          <cell r="S37">
            <v>255</v>
          </cell>
          <cell r="Y37">
            <v>43076</v>
          </cell>
          <cell r="AF37" t="str">
            <v>CALLAO</v>
          </cell>
        </row>
        <row r="38">
          <cell r="C38" t="str">
            <v>MF-008/17</v>
          </cell>
          <cell r="E38" t="str">
            <v>SAL DOBLE DE NITRATO DE CALCIO Y AMONIO</v>
          </cell>
          <cell r="F38" t="str">
            <v>KEYTRADE</v>
          </cell>
          <cell r="P38">
            <v>180</v>
          </cell>
          <cell r="R38" t="str">
            <v>CPT</v>
          </cell>
          <cell r="S38">
            <v>255</v>
          </cell>
          <cell r="Y38">
            <v>43076</v>
          </cell>
          <cell r="AF38" t="str">
            <v>CALLAO</v>
          </cell>
        </row>
        <row r="39">
          <cell r="C39" t="str">
            <v>MF-009/17</v>
          </cell>
          <cell r="E39" t="str">
            <v>SAL DOBLE DE NITRATO DE CALCIO Y AMONIO</v>
          </cell>
          <cell r="F39" t="str">
            <v>KEYTRADE</v>
          </cell>
          <cell r="P39">
            <v>180</v>
          </cell>
          <cell r="R39" t="str">
            <v>CPT</v>
          </cell>
          <cell r="S39">
            <v>255</v>
          </cell>
          <cell r="Y39">
            <v>43076</v>
          </cell>
          <cell r="AF39" t="str">
            <v>CALLAO</v>
          </cell>
        </row>
        <row r="40">
          <cell r="C40" t="str">
            <v>MF-010/17</v>
          </cell>
          <cell r="E40" t="str">
            <v>SAL DOBLE DE NITRATO DE CALCIO Y AMONIO</v>
          </cell>
          <cell r="F40" t="str">
            <v>KEYTRADE</v>
          </cell>
          <cell r="P40">
            <v>202.5</v>
          </cell>
          <cell r="R40" t="str">
            <v>CPT</v>
          </cell>
          <cell r="S40">
            <v>215</v>
          </cell>
          <cell r="Y40">
            <v>43076</v>
          </cell>
          <cell r="AF40" t="str">
            <v>CALLAO</v>
          </cell>
        </row>
        <row r="41">
          <cell r="C41" t="str">
            <v>MF-011/17</v>
          </cell>
          <cell r="E41" t="str">
            <v>NITRATO DE MAGNESIO HEXAHIDRATADO</v>
          </cell>
          <cell r="F41" t="str">
            <v>KEYTRADE</v>
          </cell>
          <cell r="P41">
            <v>150</v>
          </cell>
          <cell r="R41" t="str">
            <v>CPT</v>
          </cell>
          <cell r="S41">
            <v>260</v>
          </cell>
          <cell r="Y41">
            <v>42961</v>
          </cell>
          <cell r="AF41" t="str">
            <v>CALLAO</v>
          </cell>
        </row>
        <row r="42">
          <cell r="C42" t="str">
            <v>MF-012/17</v>
          </cell>
          <cell r="E42" t="str">
            <v>SULFATO DE POTASIO SOLUBLE</v>
          </cell>
          <cell r="F42" t="str">
            <v>KEYTRADE</v>
          </cell>
          <cell r="P42">
            <v>250</v>
          </cell>
          <cell r="R42" t="str">
            <v>CPT</v>
          </cell>
          <cell r="S42">
            <v>505</v>
          </cell>
          <cell r="Y42">
            <v>43015</v>
          </cell>
          <cell r="AF42" t="str">
            <v>CALLAO</v>
          </cell>
        </row>
        <row r="43">
          <cell r="C43" t="str">
            <v>MF-013/17</v>
          </cell>
          <cell r="E43" t="str">
            <v>SULFATO DE POTASIO SOLUBLE</v>
          </cell>
          <cell r="F43" t="str">
            <v>KEYTRADE</v>
          </cell>
          <cell r="P43">
            <v>250</v>
          </cell>
          <cell r="R43" t="str">
            <v>CPT</v>
          </cell>
          <cell r="S43">
            <v>505</v>
          </cell>
          <cell r="Y43">
            <v>43035</v>
          </cell>
          <cell r="AF43" t="str">
            <v>CALLAO</v>
          </cell>
        </row>
        <row r="44">
          <cell r="C44" t="str">
            <v>MF-014/17</v>
          </cell>
          <cell r="E44" t="str">
            <v>SULFATO DE POTASIO SOLUBLE</v>
          </cell>
          <cell r="F44" t="str">
            <v>KEYTRADE</v>
          </cell>
          <cell r="P44">
            <v>250</v>
          </cell>
          <cell r="R44" t="str">
            <v>CPT</v>
          </cell>
          <cell r="S44">
            <v>505</v>
          </cell>
          <cell r="Y44">
            <v>43061</v>
          </cell>
          <cell r="AF44" t="str">
            <v>PAITA</v>
          </cell>
        </row>
        <row r="45">
          <cell r="C45" t="str">
            <v>MF-015/17</v>
          </cell>
          <cell r="E45" t="str">
            <v>SULFATO DE POTASIO SOLUBLE</v>
          </cell>
          <cell r="F45" t="str">
            <v>KEYTRADE</v>
          </cell>
          <cell r="P45">
            <v>250</v>
          </cell>
          <cell r="R45" t="str">
            <v>CPT</v>
          </cell>
          <cell r="S45">
            <v>505</v>
          </cell>
          <cell r="Y45">
            <v>43080</v>
          </cell>
          <cell r="AF45" t="str">
            <v>PAITA</v>
          </cell>
        </row>
        <row r="46">
          <cell r="C46" t="str">
            <v>MF-016/17</v>
          </cell>
          <cell r="E46" t="str">
            <v>SULFATO DE POTASIO SOLUBLE</v>
          </cell>
          <cell r="F46" t="str">
            <v>KEYTRADE</v>
          </cell>
          <cell r="P46">
            <v>250</v>
          </cell>
          <cell r="R46" t="str">
            <v>CPT</v>
          </cell>
          <cell r="S46">
            <v>505</v>
          </cell>
          <cell r="Y46">
            <v>43080</v>
          </cell>
          <cell r="AF46" t="str">
            <v>PAITA</v>
          </cell>
        </row>
        <row r="47">
          <cell r="C47" t="str">
            <v>MF-017A/17</v>
          </cell>
          <cell r="E47" t="str">
            <v>ÁCIDO FOSFÓRICO</v>
          </cell>
          <cell r="F47" t="str">
            <v>KEYTRADE</v>
          </cell>
          <cell r="P47">
            <v>153.9</v>
          </cell>
          <cell r="R47" t="str">
            <v>CPT</v>
          </cell>
          <cell r="S47">
            <v>909</v>
          </cell>
          <cell r="Y47">
            <v>42916</v>
          </cell>
          <cell r="AF47" t="str">
            <v>CALLAO</v>
          </cell>
        </row>
        <row r="48">
          <cell r="C48" t="str">
            <v>MF-017B/17</v>
          </cell>
          <cell r="E48" t="str">
            <v>ÁCIDO FOSFÓRICO</v>
          </cell>
          <cell r="F48" t="str">
            <v>KEYTRADE</v>
          </cell>
          <cell r="P48">
            <v>153.9</v>
          </cell>
          <cell r="R48" t="str">
            <v>CPT</v>
          </cell>
          <cell r="S48">
            <v>914</v>
          </cell>
          <cell r="Y48">
            <v>42919</v>
          </cell>
          <cell r="AF48" t="str">
            <v>PAITA</v>
          </cell>
        </row>
        <row r="49">
          <cell r="C49" t="str">
            <v>MF-018A/17</v>
          </cell>
          <cell r="E49" t="str">
            <v>POLISULFATO GRANULADO</v>
          </cell>
          <cell r="F49" t="str">
            <v>ICL EUROPE COOPERATIEF U.A.</v>
          </cell>
          <cell r="P49">
            <v>111.28</v>
          </cell>
          <cell r="R49" t="str">
            <v>CFR</v>
          </cell>
          <cell r="S49">
            <v>280</v>
          </cell>
          <cell r="Y49">
            <v>42909</v>
          </cell>
          <cell r="AF49" t="str">
            <v>CALLAO</v>
          </cell>
        </row>
        <row r="50">
          <cell r="C50" t="str">
            <v>MF-018B/17</v>
          </cell>
          <cell r="E50" t="str">
            <v>POLISULFATO GRANULADO</v>
          </cell>
          <cell r="F50" t="str">
            <v>ICL EUROPE COOPERATIEF U.A.</v>
          </cell>
          <cell r="P50">
            <v>55.94</v>
          </cell>
          <cell r="R50" t="str">
            <v>CFR</v>
          </cell>
          <cell r="S50">
            <v>280</v>
          </cell>
          <cell r="Y50">
            <v>42913</v>
          </cell>
          <cell r="AF50" t="str">
            <v>PAITA</v>
          </cell>
        </row>
        <row r="51">
          <cell r="C51" t="str">
            <v>MF-019/17</v>
          </cell>
          <cell r="E51" t="str">
            <v xml:space="preserve">SULFATO DE MAGNESIO HEPTAHIDRATADO </v>
          </cell>
          <cell r="F51" t="str">
            <v>NEW CHINA CHEMICALS CO., LTD.</v>
          </cell>
          <cell r="P51">
            <v>400</v>
          </cell>
          <cell r="R51" t="str">
            <v>CIF</v>
          </cell>
          <cell r="S51">
            <v>135</v>
          </cell>
          <cell r="Y51">
            <v>42958</v>
          </cell>
          <cell r="AF51" t="str">
            <v>CALLAO</v>
          </cell>
        </row>
        <row r="52">
          <cell r="C52" t="str">
            <v>MF-020/17</v>
          </cell>
          <cell r="E52" t="str">
            <v xml:space="preserve">SULFATO DE MAGNESIO HEPTAHIDRATADO </v>
          </cell>
          <cell r="F52" t="str">
            <v>NEW CHINA CHEMICALS CO., LTD.</v>
          </cell>
          <cell r="P52">
            <v>400</v>
          </cell>
          <cell r="R52" t="str">
            <v>CIF</v>
          </cell>
          <cell r="S52">
            <v>135</v>
          </cell>
          <cell r="Y52">
            <v>42997</v>
          </cell>
          <cell r="AF52" t="str">
            <v>CALLAO</v>
          </cell>
        </row>
        <row r="53">
          <cell r="C53" t="str">
            <v>MF-021/17</v>
          </cell>
          <cell r="E53" t="str">
            <v>SULFATO DE POTASIO GRANULAR</v>
          </cell>
          <cell r="F53" t="str">
            <v>WITTRACO DÜNGEMITTEL GmbH</v>
          </cell>
          <cell r="P53">
            <v>288</v>
          </cell>
          <cell r="R53" t="str">
            <v>CFR</v>
          </cell>
          <cell r="S53">
            <v>489</v>
          </cell>
          <cell r="Y53">
            <v>42937</v>
          </cell>
          <cell r="AF53" t="str">
            <v>CALLAO</v>
          </cell>
        </row>
        <row r="54">
          <cell r="C54" t="str">
            <v>MF-022A/17</v>
          </cell>
          <cell r="E54" t="str">
            <v>UREA PERLADA</v>
          </cell>
          <cell r="F54" t="str">
            <v>GAVILON FERTILIZER LLC</v>
          </cell>
          <cell r="P54">
            <v>3100</v>
          </cell>
          <cell r="R54" t="str">
            <v>CFR</v>
          </cell>
          <cell r="S54">
            <v>220</v>
          </cell>
          <cell r="Y54">
            <v>42929</v>
          </cell>
          <cell r="AF54" t="str">
            <v>PAITA</v>
          </cell>
        </row>
        <row r="55">
          <cell r="C55" t="str">
            <v>MF-022B/17</v>
          </cell>
          <cell r="E55" t="str">
            <v>UREA PERLADA</v>
          </cell>
          <cell r="F55" t="str">
            <v>GAVILON FERTILIZER LLC</v>
          </cell>
          <cell r="P55">
            <v>4990</v>
          </cell>
          <cell r="R55" t="str">
            <v>CFR</v>
          </cell>
          <cell r="S55">
            <v>220</v>
          </cell>
          <cell r="Y55">
            <v>42931</v>
          </cell>
          <cell r="AF55" t="str">
            <v>SALAVERRY</v>
          </cell>
        </row>
        <row r="56">
          <cell r="C56" t="str">
            <v>MF-022C/17</v>
          </cell>
          <cell r="E56" t="str">
            <v>UREA PERLADA</v>
          </cell>
          <cell r="F56" t="str">
            <v>GAVILON FERTILIZER LLC</v>
          </cell>
          <cell r="P56">
            <v>3080</v>
          </cell>
          <cell r="R56" t="str">
            <v>CFR</v>
          </cell>
          <cell r="S56">
            <v>220</v>
          </cell>
          <cell r="Y56">
            <v>42939</v>
          </cell>
          <cell r="AF56" t="str">
            <v>CALLAO</v>
          </cell>
        </row>
        <row r="57">
          <cell r="C57" t="str">
            <v>MF-022D/17</v>
          </cell>
          <cell r="E57" t="str">
            <v>UREA PERLADA</v>
          </cell>
          <cell r="F57" t="str">
            <v>GAVILON FERTILIZER LLC</v>
          </cell>
          <cell r="P57">
            <v>1630</v>
          </cell>
          <cell r="R57" t="str">
            <v>CFR</v>
          </cell>
          <cell r="S57">
            <v>220</v>
          </cell>
          <cell r="Y57">
            <v>42942</v>
          </cell>
          <cell r="AF57" t="str">
            <v>PISCO</v>
          </cell>
        </row>
        <row r="58">
          <cell r="C58" t="str">
            <v>MF-022E/17</v>
          </cell>
          <cell r="E58" t="str">
            <v>UREA PERLADA</v>
          </cell>
          <cell r="F58" t="str">
            <v>GAVILON FERTILIZER LLC</v>
          </cell>
          <cell r="P58">
            <v>700</v>
          </cell>
          <cell r="R58" t="str">
            <v>CFR</v>
          </cell>
          <cell r="S58">
            <v>220</v>
          </cell>
          <cell r="Y58">
            <v>42944</v>
          </cell>
          <cell r="AF58" t="str">
            <v>MATARANI</v>
          </cell>
        </row>
        <row r="59">
          <cell r="C59" t="str">
            <v>MF-023A/17</v>
          </cell>
          <cell r="E59" t="str">
            <v>UREA GRANULADA</v>
          </cell>
          <cell r="F59" t="str">
            <v>NITRON GROUP CORPORATION</v>
          </cell>
          <cell r="P59">
            <v>1540</v>
          </cell>
          <cell r="R59" t="str">
            <v>CFR</v>
          </cell>
          <cell r="S59">
            <v>240</v>
          </cell>
          <cell r="Y59">
            <v>42977</v>
          </cell>
          <cell r="AF59" t="str">
            <v>PAITA</v>
          </cell>
        </row>
        <row r="60">
          <cell r="C60" t="str">
            <v>MF-023B/17</v>
          </cell>
          <cell r="E60" t="str">
            <v>UREA GRANULADA</v>
          </cell>
          <cell r="F60" t="str">
            <v>NITRON GROUP CORPORATION</v>
          </cell>
          <cell r="P60">
            <v>1100</v>
          </cell>
          <cell r="R60" t="str">
            <v>CFR</v>
          </cell>
          <cell r="S60">
            <v>240</v>
          </cell>
          <cell r="Y60">
            <v>42979</v>
          </cell>
          <cell r="AF60" t="str">
            <v>SALAVERRY</v>
          </cell>
        </row>
        <row r="61">
          <cell r="C61" t="str">
            <v>MF-023C/17</v>
          </cell>
          <cell r="E61" t="str">
            <v>UREA GRANULADA</v>
          </cell>
          <cell r="F61" t="str">
            <v>NITRON GROUP CORPORATION</v>
          </cell>
          <cell r="P61">
            <v>440</v>
          </cell>
          <cell r="R61" t="str">
            <v>CFR</v>
          </cell>
          <cell r="S61">
            <v>240</v>
          </cell>
          <cell r="Y61">
            <v>42983</v>
          </cell>
          <cell r="AF61" t="str">
            <v>CALLAO</v>
          </cell>
        </row>
        <row r="62">
          <cell r="C62" t="str">
            <v>MF-023D/17</v>
          </cell>
          <cell r="E62" t="str">
            <v>UREA GRANULADA</v>
          </cell>
          <cell r="F62" t="str">
            <v>NITRON GROUP CORPORATION</v>
          </cell>
          <cell r="P62">
            <v>1320</v>
          </cell>
          <cell r="R62" t="str">
            <v>CFR</v>
          </cell>
          <cell r="S62">
            <v>240</v>
          </cell>
          <cell r="Y62">
            <v>42988</v>
          </cell>
          <cell r="AF62" t="str">
            <v>MATARANI</v>
          </cell>
        </row>
        <row r="63">
          <cell r="C63" t="str">
            <v>MF-024A/17</v>
          </cell>
          <cell r="E63" t="str">
            <v>FOSFATO DIAMÓNICO GRANULAR</v>
          </cell>
          <cell r="F63" t="str">
            <v>NITRON GROUP CORPORATION</v>
          </cell>
          <cell r="P63">
            <v>880</v>
          </cell>
          <cell r="R63" t="str">
            <v>CFR</v>
          </cell>
          <cell r="S63">
            <v>378</v>
          </cell>
          <cell r="Y63">
            <v>42977</v>
          </cell>
          <cell r="AF63" t="str">
            <v>PAITA</v>
          </cell>
        </row>
        <row r="64">
          <cell r="C64" t="str">
            <v>MF-024B/17</v>
          </cell>
          <cell r="E64" t="str">
            <v>FOSFATO DIAMÓNICO GRANULAR</v>
          </cell>
          <cell r="F64" t="str">
            <v>NITRON GROUP CORPORATION</v>
          </cell>
          <cell r="P64">
            <v>1155</v>
          </cell>
          <cell r="R64" t="str">
            <v>CFR</v>
          </cell>
          <cell r="S64">
            <v>378</v>
          </cell>
          <cell r="Y64">
            <v>42979</v>
          </cell>
          <cell r="AF64" t="str">
            <v>SALAVERRY</v>
          </cell>
        </row>
        <row r="65">
          <cell r="C65" t="str">
            <v>MF-024C/17</v>
          </cell>
          <cell r="E65" t="str">
            <v>FOSFATO DIAMÓNICO GRANULAR</v>
          </cell>
          <cell r="F65" t="str">
            <v>NITRON GROUP CORPORATION</v>
          </cell>
          <cell r="P65">
            <v>1870</v>
          </cell>
          <cell r="R65" t="str">
            <v>CFR</v>
          </cell>
          <cell r="S65">
            <v>378</v>
          </cell>
          <cell r="Y65">
            <v>42983</v>
          </cell>
          <cell r="AF65" t="str">
            <v>CALLAO</v>
          </cell>
        </row>
        <row r="66">
          <cell r="C66" t="str">
            <v>MF-024D/17</v>
          </cell>
          <cell r="E66" t="str">
            <v>FOSFATO DIAMÓNICO GRANULAR</v>
          </cell>
          <cell r="F66" t="str">
            <v>NITRON GROUP CORPORATION</v>
          </cell>
          <cell r="P66">
            <v>715</v>
          </cell>
          <cell r="R66" t="str">
            <v>CFR</v>
          </cell>
          <cell r="S66">
            <v>378</v>
          </cell>
          <cell r="Y66">
            <v>42986</v>
          </cell>
          <cell r="AF66" t="str">
            <v>PISCO</v>
          </cell>
        </row>
        <row r="67">
          <cell r="C67" t="str">
            <v>MF-024E/17</v>
          </cell>
          <cell r="E67" t="str">
            <v>FOSFATO DIAMÓNICO GRANULAR</v>
          </cell>
          <cell r="F67" t="str">
            <v>NITRON GROUP CORPORATION</v>
          </cell>
          <cell r="P67">
            <v>1980</v>
          </cell>
          <cell r="R67" t="str">
            <v>CFR</v>
          </cell>
          <cell r="S67">
            <v>378</v>
          </cell>
          <cell r="Y67">
            <v>42988</v>
          </cell>
          <cell r="AF67" t="str">
            <v>MATARANI</v>
          </cell>
        </row>
        <row r="68">
          <cell r="C68" t="str">
            <v>MF-025A/17</v>
          </cell>
          <cell r="E68" t="str">
            <v>SULFATO DE AMONIO ESTÁNDAR</v>
          </cell>
          <cell r="F68" t="str">
            <v>NITRON GROUP CORPORATION</v>
          </cell>
          <cell r="P68">
            <v>4345</v>
          </cell>
          <cell r="R68" t="str">
            <v>CFR</v>
          </cell>
          <cell r="S68">
            <v>132.375</v>
          </cell>
          <cell r="Y68">
            <v>42977</v>
          </cell>
          <cell r="AF68" t="str">
            <v>PAITA</v>
          </cell>
        </row>
        <row r="69">
          <cell r="C69" t="str">
            <v>MF-025B/17</v>
          </cell>
          <cell r="E69" t="str">
            <v>SULFATO DE AMONIO ESTÁNDAR</v>
          </cell>
          <cell r="F69" t="str">
            <v>NITRON GROUP CORPORATION</v>
          </cell>
          <cell r="P69">
            <v>3300</v>
          </cell>
          <cell r="R69" t="str">
            <v>CFR</v>
          </cell>
          <cell r="S69">
            <v>132.375</v>
          </cell>
          <cell r="Y69">
            <v>42979</v>
          </cell>
          <cell r="AF69" t="str">
            <v>SALAVERRY</v>
          </cell>
        </row>
        <row r="70">
          <cell r="C70" t="str">
            <v>MF-025C/17</v>
          </cell>
          <cell r="E70" t="str">
            <v>SULFATO DE AMONIO ESTÁNDAR</v>
          </cell>
          <cell r="F70" t="str">
            <v>NITRON GROUP CORPORATION</v>
          </cell>
          <cell r="P70">
            <v>605</v>
          </cell>
          <cell r="R70" t="str">
            <v>CFR</v>
          </cell>
          <cell r="S70">
            <v>132.375</v>
          </cell>
          <cell r="Y70">
            <v>42983</v>
          </cell>
          <cell r="AF70" t="str">
            <v>CALLAO</v>
          </cell>
        </row>
        <row r="71">
          <cell r="C71" t="str">
            <v>MF-025D/17</v>
          </cell>
          <cell r="E71" t="str">
            <v>SULFATO DE AMONIO ESTÁNDAR</v>
          </cell>
          <cell r="F71" t="str">
            <v>NITRON GROUP CORPORATION</v>
          </cell>
          <cell r="P71">
            <v>220</v>
          </cell>
          <cell r="R71" t="str">
            <v>CFR</v>
          </cell>
          <cell r="S71">
            <v>132.375</v>
          </cell>
          <cell r="Y71">
            <v>42986</v>
          </cell>
          <cell r="AF71" t="str">
            <v>PISCO</v>
          </cell>
        </row>
        <row r="72">
          <cell r="C72" t="str">
            <v>MF-025E/17</v>
          </cell>
          <cell r="E72" t="str">
            <v>SULFATO DE AMONIO ESTÁNDAR</v>
          </cell>
          <cell r="F72" t="str">
            <v>NITRON GROUP CORPORATION</v>
          </cell>
          <cell r="P72">
            <v>330</v>
          </cell>
          <cell r="R72" t="str">
            <v>CFR</v>
          </cell>
          <cell r="S72">
            <v>132.375</v>
          </cell>
          <cell r="Y72">
            <v>42988</v>
          </cell>
          <cell r="AF72" t="str">
            <v>MATARANI</v>
          </cell>
        </row>
        <row r="73">
          <cell r="C73" t="str">
            <v>MF-026/17</v>
          </cell>
          <cell r="E73" t="str">
            <v>ÁCIDO FOSFÓRICO</v>
          </cell>
          <cell r="F73" t="str">
            <v>NITRON GROUP CORPORATION</v>
          </cell>
          <cell r="P73">
            <v>153.9</v>
          </cell>
          <cell r="R73" t="str">
            <v>CFR</v>
          </cell>
          <cell r="S73">
            <v>878</v>
          </cell>
          <cell r="Y73">
            <v>42951</v>
          </cell>
          <cell r="AF73" t="str">
            <v>MATARANI</v>
          </cell>
        </row>
        <row r="74">
          <cell r="C74" t="str">
            <v>MF-027/17</v>
          </cell>
          <cell r="E74" t="str">
            <v>SULFATO DE ZINC HEPTAHIDRATADO</v>
          </cell>
          <cell r="F74" t="str">
            <v>AMEROPA</v>
          </cell>
          <cell r="P74">
            <v>110.4</v>
          </cell>
          <cell r="R74" t="str">
            <v>CFR</v>
          </cell>
          <cell r="S74">
            <v>237</v>
          </cell>
          <cell r="Y74">
            <v>42968</v>
          </cell>
          <cell r="AF74" t="str">
            <v>CALLAO</v>
          </cell>
        </row>
        <row r="75">
          <cell r="C75" t="str">
            <v>MF-028/17</v>
          </cell>
          <cell r="E75" t="str">
            <v>FOSFATO MONOAMÓNICO CRISTALIZADO</v>
          </cell>
          <cell r="F75" t="str">
            <v>MANUCHAR NV</v>
          </cell>
          <cell r="P75">
            <v>24</v>
          </cell>
          <cell r="R75" t="str">
            <v>CFR</v>
          </cell>
          <cell r="S75">
            <v>605</v>
          </cell>
          <cell r="Y75">
            <v>43021</v>
          </cell>
          <cell r="AF75" t="str">
            <v>CALLAO</v>
          </cell>
        </row>
        <row r="76">
          <cell r="C76" t="str">
            <v>MF-029/17</v>
          </cell>
          <cell r="E76" t="str">
            <v>SULFATO DE POTASIO SOLUBLE</v>
          </cell>
          <cell r="F76" t="str">
            <v xml:space="preserve">HELIOPOTASSE SA  </v>
          </cell>
          <cell r="P76">
            <v>100</v>
          </cell>
          <cell r="R76" t="str">
            <v>CIF</v>
          </cell>
          <cell r="S76">
            <v>504</v>
          </cell>
          <cell r="Y76">
            <v>43047</v>
          </cell>
          <cell r="AF76" t="str">
            <v>MATARANI</v>
          </cell>
        </row>
        <row r="77">
          <cell r="C77" t="str">
            <v>MF-030A/17</v>
          </cell>
          <cell r="E77" t="str">
            <v>ÁCIDO FOSFÓRICO</v>
          </cell>
          <cell r="F77" t="str">
            <v>KEYTRADE</v>
          </cell>
          <cell r="P77">
            <v>76.95</v>
          </cell>
          <cell r="R77" t="str">
            <v>CPT</v>
          </cell>
          <cell r="S77">
            <v>858</v>
          </cell>
          <cell r="Y77">
            <v>42965</v>
          </cell>
          <cell r="AF77" t="str">
            <v>CALLAO</v>
          </cell>
        </row>
        <row r="78">
          <cell r="C78" t="str">
            <v>MF-030B/17</v>
          </cell>
          <cell r="E78" t="str">
            <v>ÁCIDO FOSFÓRICO</v>
          </cell>
          <cell r="F78" t="str">
            <v>KEYTRADE</v>
          </cell>
          <cell r="P78">
            <v>128.25</v>
          </cell>
          <cell r="R78" t="str">
            <v>CPT</v>
          </cell>
          <cell r="S78">
            <v>863</v>
          </cell>
          <cell r="Y78">
            <v>42961</v>
          </cell>
          <cell r="AF78" t="str">
            <v>PAITA</v>
          </cell>
        </row>
        <row r="79">
          <cell r="C79" t="str">
            <v>MF-031A/17</v>
          </cell>
          <cell r="E79" t="str">
            <v>NITRATO DE CALCIO PREMIUM</v>
          </cell>
          <cell r="F79" t="str">
            <v>URALCHEM</v>
          </cell>
          <cell r="P79">
            <v>96</v>
          </cell>
          <cell r="R79" t="str">
            <v>CFR</v>
          </cell>
          <cell r="S79">
            <v>315</v>
          </cell>
          <cell r="Y79">
            <v>42971</v>
          </cell>
          <cell r="AF79" t="str">
            <v>CALLAO</v>
          </cell>
        </row>
        <row r="80">
          <cell r="C80" t="str">
            <v>MF-031B/17</v>
          </cell>
          <cell r="E80" t="str">
            <v>NITRATO DE CALCIO PREMIUM</v>
          </cell>
          <cell r="F80" t="str">
            <v>URALCHEM</v>
          </cell>
          <cell r="P80">
            <v>288</v>
          </cell>
          <cell r="R80" t="str">
            <v>CFR</v>
          </cell>
          <cell r="S80">
            <v>320</v>
          </cell>
          <cell r="Y80">
            <v>42977</v>
          </cell>
          <cell r="AF80" t="str">
            <v>PAITA</v>
          </cell>
        </row>
        <row r="81">
          <cell r="C81" t="str">
            <v>MF-032A/17</v>
          </cell>
          <cell r="E81" t="str">
            <v>NITRATO DE CALCIO PREMIUM</v>
          </cell>
          <cell r="F81" t="str">
            <v>URALCHEM</v>
          </cell>
          <cell r="P81">
            <v>192</v>
          </cell>
          <cell r="R81" t="str">
            <v>CFR</v>
          </cell>
          <cell r="S81">
            <v>315</v>
          </cell>
          <cell r="Y81">
            <v>43035</v>
          </cell>
          <cell r="AF81" t="str">
            <v>CALLAO</v>
          </cell>
        </row>
        <row r="82">
          <cell r="C82" t="str">
            <v>MF-032B/17</v>
          </cell>
          <cell r="E82" t="str">
            <v>NITRATO DE CALCIO PREMIUM</v>
          </cell>
          <cell r="F82" t="str">
            <v>URALCHEM</v>
          </cell>
          <cell r="P82">
            <v>312</v>
          </cell>
          <cell r="R82" t="str">
            <v>CFR</v>
          </cell>
          <cell r="S82">
            <v>320</v>
          </cell>
          <cell r="Y82">
            <v>43038</v>
          </cell>
          <cell r="AF82" t="str">
            <v>PAITA</v>
          </cell>
        </row>
        <row r="83">
          <cell r="C83" t="str">
            <v>MF-033A/17</v>
          </cell>
          <cell r="E83" t="str">
            <v>ÁCIDO FOSFÓRICO</v>
          </cell>
          <cell r="F83" t="str">
            <v>KEYTRADE</v>
          </cell>
          <cell r="P83">
            <v>179.55</v>
          </cell>
          <cell r="R83" t="str">
            <v>CPT</v>
          </cell>
          <cell r="S83">
            <v>835</v>
          </cell>
          <cell r="Y83">
            <v>42988</v>
          </cell>
          <cell r="AF83" t="str">
            <v>CALLAO</v>
          </cell>
        </row>
        <row r="84">
          <cell r="C84" t="str">
            <v>MF-033B/17</v>
          </cell>
          <cell r="E84" t="str">
            <v>ÁCIDO FOSFÓRICO</v>
          </cell>
          <cell r="F84" t="str">
            <v>KEYTRADE</v>
          </cell>
          <cell r="P84">
            <v>333.45</v>
          </cell>
          <cell r="R84" t="str">
            <v>CPT</v>
          </cell>
          <cell r="S84">
            <v>840</v>
          </cell>
          <cell r="Y84">
            <v>42981</v>
          </cell>
          <cell r="AF84" t="str">
            <v>PAITA</v>
          </cell>
        </row>
        <row r="85">
          <cell r="C85" t="str">
            <v>MF-034/17</v>
          </cell>
          <cell r="E85" t="str">
            <v>FOSFATO MONOAMÓNICO CRISTALIZADO</v>
          </cell>
          <cell r="F85" t="str">
            <v>MANUCHAR NV</v>
          </cell>
          <cell r="P85">
            <v>72</v>
          </cell>
          <cell r="R85" t="str">
            <v>CFR</v>
          </cell>
          <cell r="S85">
            <v>625</v>
          </cell>
          <cell r="Y85">
            <v>43027</v>
          </cell>
          <cell r="AF85" t="str">
            <v>PAITA</v>
          </cell>
        </row>
        <row r="86">
          <cell r="C86" t="str">
            <v>MF-035/17</v>
          </cell>
          <cell r="E86" t="str">
            <v xml:space="preserve">SULFATO DE MAGNESIO HEPTAHIDRATADO </v>
          </cell>
          <cell r="F86" t="str">
            <v>SAMSUNG</v>
          </cell>
          <cell r="P86">
            <v>300</v>
          </cell>
          <cell r="R86" t="str">
            <v>CFR</v>
          </cell>
          <cell r="S86">
            <v>115</v>
          </cell>
          <cell r="Y86">
            <v>43041</v>
          </cell>
          <cell r="AF86" t="str">
            <v>CALLAO</v>
          </cell>
        </row>
        <row r="87">
          <cell r="C87" t="str">
            <v>MF-036/17</v>
          </cell>
          <cell r="E87" t="str">
            <v>SULFATO DE POTASIO GRANULAR</v>
          </cell>
          <cell r="F87" t="str">
            <v xml:space="preserve">K+S KALI GMBH </v>
          </cell>
          <cell r="P87">
            <v>308</v>
          </cell>
          <cell r="R87" t="str">
            <v>CPT</v>
          </cell>
          <cell r="S87">
            <v>510</v>
          </cell>
          <cell r="Y87">
            <v>43002</v>
          </cell>
          <cell r="AF87" t="str">
            <v>PAITA</v>
          </cell>
        </row>
        <row r="88">
          <cell r="C88" t="str">
            <v>MF-037/17</v>
          </cell>
          <cell r="E88" t="str">
            <v>SULFATO DE POTASIO GRANULAR</v>
          </cell>
          <cell r="F88" t="str">
            <v>TESSENDERLO</v>
          </cell>
          <cell r="P88">
            <v>307.64499999999998</v>
          </cell>
          <cell r="R88" t="str">
            <v>CIF</v>
          </cell>
          <cell r="S88">
            <v>505</v>
          </cell>
          <cell r="Y88">
            <v>43027</v>
          </cell>
          <cell r="AF88" t="str">
            <v>CALLAO</v>
          </cell>
        </row>
        <row r="89">
          <cell r="C89" t="str">
            <v>MF-038A/17</v>
          </cell>
          <cell r="E89" t="str">
            <v>POLISULFATO GRANULADO</v>
          </cell>
          <cell r="F89" t="str">
            <v>ICL EUROPE COOPERATIEF U.A.</v>
          </cell>
          <cell r="P89">
            <v>195.84</v>
          </cell>
          <cell r="R89" t="str">
            <v>CFR</v>
          </cell>
          <cell r="S89">
            <v>280</v>
          </cell>
          <cell r="Y89">
            <v>43007</v>
          </cell>
          <cell r="AF89" t="str">
            <v>CALLAO</v>
          </cell>
        </row>
        <row r="90">
          <cell r="C90" t="str">
            <v>MF-038B/17</v>
          </cell>
          <cell r="E90" t="str">
            <v>POLISULFATO GRANULADO</v>
          </cell>
          <cell r="F90" t="str">
            <v>ICL EUROPE COOPERATIEF U.A.</v>
          </cell>
          <cell r="P90">
            <v>111.86</v>
          </cell>
          <cell r="R90" t="str">
            <v>CFR</v>
          </cell>
          <cell r="S90">
            <v>280</v>
          </cell>
          <cell r="Y90">
            <v>43009</v>
          </cell>
          <cell r="AF90" t="str">
            <v>PAITA</v>
          </cell>
        </row>
        <row r="91">
          <cell r="C91" t="str">
            <v>MF-039A/17</v>
          </cell>
          <cell r="E91" t="str">
            <v>POLISULFATO ESTÁNDAR</v>
          </cell>
          <cell r="F91" t="str">
            <v>ICL EUROPE COOPERATIEF U.A.</v>
          </cell>
          <cell r="P91">
            <v>27.94</v>
          </cell>
          <cell r="R91" t="str">
            <v>CFR</v>
          </cell>
          <cell r="S91">
            <v>270</v>
          </cell>
          <cell r="Y91">
            <v>43007</v>
          </cell>
          <cell r="AF91" t="str">
            <v>CALLAO</v>
          </cell>
        </row>
        <row r="92">
          <cell r="C92" t="str">
            <v>MF-039B/17</v>
          </cell>
          <cell r="E92" t="str">
            <v>POLISULFATO ESTÁNDAR</v>
          </cell>
          <cell r="F92" t="str">
            <v>ICL EUROPE COOPERATIEF U.A.</v>
          </cell>
          <cell r="P92">
            <v>28</v>
          </cell>
          <cell r="R92" t="str">
            <v>CFR</v>
          </cell>
          <cell r="S92">
            <v>270</v>
          </cell>
          <cell r="Y92">
            <v>43017</v>
          </cell>
          <cell r="AF92" t="str">
            <v>PAITA</v>
          </cell>
        </row>
        <row r="93">
          <cell r="C93" t="str">
            <v>MF-040A/17</v>
          </cell>
          <cell r="E93" t="str">
            <v>NITRATO DE AMONIO</v>
          </cell>
          <cell r="F93" t="str">
            <v>YARA</v>
          </cell>
          <cell r="P93">
            <v>500</v>
          </cell>
          <cell r="R93" t="str">
            <v>CFR</v>
          </cell>
          <cell r="S93">
            <v>231</v>
          </cell>
          <cell r="Y93">
            <v>42988</v>
          </cell>
          <cell r="AF93" t="str">
            <v>PAITA</v>
          </cell>
        </row>
        <row r="94">
          <cell r="C94" t="str">
            <v>MF-040B/17</v>
          </cell>
          <cell r="E94" t="str">
            <v>NITRATO DE AMONIO</v>
          </cell>
          <cell r="F94" t="str">
            <v>YARA</v>
          </cell>
          <cell r="P94">
            <v>1100</v>
          </cell>
          <cell r="R94" t="str">
            <v>CFR</v>
          </cell>
          <cell r="S94">
            <v>231</v>
          </cell>
          <cell r="Y94">
            <v>42992</v>
          </cell>
          <cell r="AF94" t="str">
            <v>SALAVERRY</v>
          </cell>
        </row>
        <row r="95">
          <cell r="C95" t="str">
            <v>MF-040C/17</v>
          </cell>
          <cell r="E95" t="str">
            <v>NITRATO DE AMONIO</v>
          </cell>
          <cell r="F95" t="str">
            <v>YARA</v>
          </cell>
          <cell r="P95">
            <v>200</v>
          </cell>
          <cell r="R95" t="str">
            <v>CFR</v>
          </cell>
          <cell r="S95">
            <v>231</v>
          </cell>
          <cell r="Y95">
            <v>42997</v>
          </cell>
          <cell r="AF95" t="str">
            <v>CALLAO</v>
          </cell>
        </row>
        <row r="96">
          <cell r="C96" t="str">
            <v>MF-040D/17</v>
          </cell>
          <cell r="E96" t="str">
            <v>NITRATO DE AMONIO</v>
          </cell>
          <cell r="F96" t="str">
            <v>YARA</v>
          </cell>
          <cell r="P96">
            <v>400</v>
          </cell>
          <cell r="R96" t="str">
            <v>CFR</v>
          </cell>
          <cell r="S96">
            <v>231</v>
          </cell>
          <cell r="Y96">
            <v>43000</v>
          </cell>
          <cell r="AF96" t="str">
            <v>PISCO</v>
          </cell>
        </row>
        <row r="97">
          <cell r="C97" t="str">
            <v>MF-041A/17</v>
          </cell>
          <cell r="E97" t="str">
            <v>FOSFATO MONOAMÓNICO GRANULAR</v>
          </cell>
          <cell r="F97" t="str">
            <v>PHOSAGRO</v>
          </cell>
          <cell r="P97">
            <v>990</v>
          </cell>
          <cell r="R97" t="str">
            <v>CFR</v>
          </cell>
          <cell r="S97">
            <v>367</v>
          </cell>
          <cell r="Y97">
            <v>43042</v>
          </cell>
          <cell r="AF97" t="str">
            <v>CALLAO</v>
          </cell>
        </row>
        <row r="98">
          <cell r="C98" t="str">
            <v>MF-041B/17</v>
          </cell>
          <cell r="E98" t="str">
            <v>FOSFATO MONOAMÓNICO GRANULAR</v>
          </cell>
          <cell r="F98" t="str">
            <v>PHOSAGRO</v>
          </cell>
          <cell r="P98">
            <v>609</v>
          </cell>
          <cell r="R98" t="str">
            <v>CFR</v>
          </cell>
          <cell r="S98">
            <v>367</v>
          </cell>
          <cell r="Y98">
            <v>43052</v>
          </cell>
          <cell r="AF98" t="str">
            <v>PAITA</v>
          </cell>
        </row>
        <row r="99">
          <cell r="C99" t="str">
            <v>MF-042A/17</v>
          </cell>
          <cell r="E99" t="str">
            <v>NPK 15-15-15</v>
          </cell>
          <cell r="F99" t="str">
            <v>PHOSAGRO</v>
          </cell>
          <cell r="P99">
            <v>360</v>
          </cell>
          <cell r="R99" t="str">
            <v>CFR</v>
          </cell>
          <cell r="S99">
            <v>257</v>
          </cell>
          <cell r="Y99">
            <v>43070</v>
          </cell>
          <cell r="AF99" t="str">
            <v>CALLAO</v>
          </cell>
        </row>
        <row r="100">
          <cell r="C100" t="str">
            <v>MF-042B/17</v>
          </cell>
          <cell r="E100" t="str">
            <v>NPK 15-15-15</v>
          </cell>
          <cell r="F100" t="str">
            <v>PHOSAGRO</v>
          </cell>
          <cell r="P100">
            <v>145</v>
          </cell>
          <cell r="R100" t="str">
            <v>CFR</v>
          </cell>
          <cell r="S100">
            <v>257</v>
          </cell>
          <cell r="Y100">
            <v>43080</v>
          </cell>
          <cell r="AF100" t="str">
            <v>PAITA</v>
          </cell>
        </row>
        <row r="101">
          <cell r="C101" t="str">
            <v>MF-043A/17</v>
          </cell>
          <cell r="E101" t="str">
            <v xml:space="preserve">NPK 12-32-16 </v>
          </cell>
          <cell r="F101" t="str">
            <v>PHOSAGRO</v>
          </cell>
          <cell r="P101">
            <v>165.8</v>
          </cell>
          <cell r="R101" t="str">
            <v>CFR</v>
          </cell>
          <cell r="S101">
            <v>312</v>
          </cell>
          <cell r="Y101">
            <v>43014</v>
          </cell>
          <cell r="AF101" t="str">
            <v>CALLAO</v>
          </cell>
        </row>
        <row r="102">
          <cell r="C102" t="str">
            <v>MF-043B/17</v>
          </cell>
          <cell r="E102" t="str">
            <v xml:space="preserve">NPK 12-32-16 </v>
          </cell>
          <cell r="F102" t="str">
            <v>PHOSAGRO</v>
          </cell>
          <cell r="P102">
            <v>113</v>
          </cell>
          <cell r="R102" t="str">
            <v>CFR</v>
          </cell>
          <cell r="S102">
            <v>312</v>
          </cell>
          <cell r="Y102">
            <v>43038</v>
          </cell>
          <cell r="AF102" t="str">
            <v>PAITA</v>
          </cell>
        </row>
        <row r="103">
          <cell r="C103" t="str">
            <v>MF-044/17</v>
          </cell>
          <cell r="E103" t="str">
            <v xml:space="preserve">SULFATO DE MAGNESIO HEPTAHIDRATADO </v>
          </cell>
          <cell r="F103" t="str">
            <v>STAR GRACE MINING CO.,LTD</v>
          </cell>
          <cell r="P103">
            <v>199.5</v>
          </cell>
          <cell r="R103" t="str">
            <v>CFR</v>
          </cell>
          <cell r="S103">
            <v>165</v>
          </cell>
          <cell r="Y103">
            <v>43047</v>
          </cell>
          <cell r="AF103" t="str">
            <v>PAITA</v>
          </cell>
        </row>
        <row r="104">
          <cell r="C104" t="str">
            <v>MF-045A/17</v>
          </cell>
          <cell r="E104" t="str">
            <v>SUPERFOSFATO TRIPLE – TSP X 50KG</v>
          </cell>
          <cell r="F104" t="str">
            <v>NITRON GROUP CORPORATION</v>
          </cell>
          <cell r="P104">
            <v>110</v>
          </cell>
          <cell r="R104" t="str">
            <v>CFR</v>
          </cell>
          <cell r="S104">
            <v>375</v>
          </cell>
          <cell r="Y104">
            <v>43083</v>
          </cell>
          <cell r="AF104" t="str">
            <v>CALLAO</v>
          </cell>
        </row>
        <row r="105">
          <cell r="C105" t="str">
            <v>MF-045B/17</v>
          </cell>
          <cell r="E105" t="str">
            <v>SUPERFOSFATO TRIPLE – TSP X 50KG</v>
          </cell>
          <cell r="F105" t="str">
            <v>NITRON GROUP CORPORATION</v>
          </cell>
          <cell r="P105">
            <v>220</v>
          </cell>
          <cell r="R105" t="str">
            <v>CFR</v>
          </cell>
          <cell r="S105">
            <v>380</v>
          </cell>
          <cell r="Y105">
            <v>43081</v>
          </cell>
          <cell r="AF105" t="str">
            <v>PAITA</v>
          </cell>
        </row>
        <row r="106">
          <cell r="C106" t="str">
            <v>MF-046A/17</v>
          </cell>
          <cell r="E106" t="str">
            <v>POLISULFATO GRANULADO</v>
          </cell>
          <cell r="F106" t="str">
            <v>ICL EUROPE COOPERATIEF U.A.</v>
          </cell>
          <cell r="P106">
            <v>195.84</v>
          </cell>
          <cell r="R106" t="str">
            <v>CFR</v>
          </cell>
          <cell r="S106">
            <v>280</v>
          </cell>
          <cell r="Y106">
            <v>43049</v>
          </cell>
          <cell r="AF106" t="str">
            <v>CALLAO</v>
          </cell>
        </row>
        <row r="107">
          <cell r="C107" t="str">
            <v>MF-046B/17</v>
          </cell>
          <cell r="E107" t="str">
            <v>POLISULFATO GRANULADO</v>
          </cell>
          <cell r="F107" t="str">
            <v>ICL EUROPE COOPERATIEF U.A.</v>
          </cell>
          <cell r="P107">
            <v>99.88</v>
          </cell>
          <cell r="R107" t="str">
            <v>CFR</v>
          </cell>
          <cell r="S107">
            <v>280</v>
          </cell>
          <cell r="Y107">
            <v>43059</v>
          </cell>
          <cell r="AF107" t="str">
            <v>PAITA</v>
          </cell>
        </row>
        <row r="108">
          <cell r="C108" t="str">
            <v>MF-047/17</v>
          </cell>
          <cell r="E108" t="str">
            <v>SAL DOBLE DE NITRATO DE CALCIO Y AMONIO</v>
          </cell>
          <cell r="F108" t="str">
            <v>KEYTRADE</v>
          </cell>
          <cell r="P108">
            <v>540</v>
          </cell>
          <cell r="R108" t="str">
            <v>CFR</v>
          </cell>
          <cell r="S108">
            <v>285</v>
          </cell>
          <cell r="Y108">
            <v>43076</v>
          </cell>
          <cell r="AF108" t="str">
            <v>CALLAO</v>
          </cell>
        </row>
        <row r="109">
          <cell r="C109" t="str">
            <v>MF-048A/17</v>
          </cell>
          <cell r="E109" t="str">
            <v>NUTRIVANT PLUS RICE 0-46-30-MG-B</v>
          </cell>
          <cell r="F109" t="str">
            <v>ICL EUROPE COOPERATIEF U.A.</v>
          </cell>
          <cell r="P109">
            <v>6</v>
          </cell>
          <cell r="R109" t="str">
            <v>CIF</v>
          </cell>
          <cell r="S109">
            <v>1820</v>
          </cell>
          <cell r="Y109">
            <v>43070</v>
          </cell>
          <cell r="AF109" t="str">
            <v>CALLAO</v>
          </cell>
        </row>
        <row r="110">
          <cell r="C110" t="str">
            <v>MF-048B/17</v>
          </cell>
          <cell r="E110" t="str">
            <v>NUTRIVANT STARTER 11-36-24 + MN + FV</v>
          </cell>
          <cell r="F110" t="str">
            <v>ICL EUROPE COOPERATIEF U.A.</v>
          </cell>
          <cell r="P110">
            <v>6</v>
          </cell>
          <cell r="R110" t="str">
            <v>CIF</v>
          </cell>
          <cell r="S110">
            <v>1810</v>
          </cell>
          <cell r="Y110">
            <v>43070</v>
          </cell>
          <cell r="AF110" t="str">
            <v>CALLAO</v>
          </cell>
        </row>
        <row r="111">
          <cell r="C111" t="str">
            <v>MF-048C/17</v>
          </cell>
          <cell r="E111" t="str">
            <v>NUTRIVANT PEAKVANT 0-49-32</v>
          </cell>
          <cell r="F111" t="str">
            <v>ICL EUROPE COOPERATIEF U.A.</v>
          </cell>
          <cell r="P111">
            <v>6</v>
          </cell>
          <cell r="R111" t="str">
            <v>CIF</v>
          </cell>
          <cell r="S111">
            <v>1890</v>
          </cell>
          <cell r="Y111">
            <v>43070</v>
          </cell>
          <cell r="AF111" t="str">
            <v>CALLAO</v>
          </cell>
        </row>
        <row r="112">
          <cell r="C112" t="str">
            <v>MF-048D/17</v>
          </cell>
          <cell r="E112" t="str">
            <v xml:space="preserve">NUTRIVANT PLUS FRUITS 12-5-27-8 CA </v>
          </cell>
          <cell r="F112" t="str">
            <v>ICL EUROPE COOPERATIEF U.A.</v>
          </cell>
          <cell r="P112">
            <v>6</v>
          </cell>
          <cell r="R112" t="str">
            <v>CIF</v>
          </cell>
          <cell r="S112">
            <v>1530</v>
          </cell>
          <cell r="Y112">
            <v>43070</v>
          </cell>
          <cell r="AF112" t="str">
            <v>CALLAO</v>
          </cell>
        </row>
        <row r="113">
          <cell r="C113" t="str">
            <v>MF-049A/17</v>
          </cell>
          <cell r="E113" t="str">
            <v>SULFATO DE POTASIO GRANULAR</v>
          </cell>
          <cell r="F113" t="str">
            <v xml:space="preserve">K+S KALI GMBH </v>
          </cell>
          <cell r="P113">
            <v>392.06200000000001</v>
          </cell>
          <cell r="R113" t="str">
            <v>CPT</v>
          </cell>
          <cell r="S113">
            <v>501</v>
          </cell>
          <cell r="Y113">
            <v>43027</v>
          </cell>
          <cell r="AF113" t="str">
            <v>CALLAO</v>
          </cell>
        </row>
        <row r="114">
          <cell r="C114" t="str">
            <v>MF-049B/17</v>
          </cell>
          <cell r="E114" t="str">
            <v>SULFATO DE POTASIO GRANULAR</v>
          </cell>
          <cell r="F114" t="str">
            <v xml:space="preserve">K+S KALI GMBH </v>
          </cell>
          <cell r="P114">
            <v>392.07600000000002</v>
          </cell>
          <cell r="R114" t="str">
            <v>CPT</v>
          </cell>
          <cell r="S114">
            <v>506</v>
          </cell>
          <cell r="Y114">
            <v>43031</v>
          </cell>
          <cell r="AF114" t="str">
            <v>PAITA</v>
          </cell>
        </row>
        <row r="115">
          <cell r="C115" t="str">
            <v>MF-050/17</v>
          </cell>
          <cell r="E115" t="str">
            <v>NITRATO DE MAGNESIO HEXAHIDRATADO</v>
          </cell>
          <cell r="F115" t="str">
            <v>KEYTRADE</v>
          </cell>
          <cell r="P115">
            <v>200</v>
          </cell>
          <cell r="R115" t="str">
            <v>CFR</v>
          </cell>
          <cell r="S115">
            <v>300</v>
          </cell>
          <cell r="Y115">
            <v>43076</v>
          </cell>
          <cell r="AF115" t="str">
            <v>CALLAO</v>
          </cell>
        </row>
        <row r="116">
          <cell r="C116" t="str">
            <v>MF-051A/17</v>
          </cell>
          <cell r="E116" t="str">
            <v>ÁCIDO FOSFÓRICO</v>
          </cell>
          <cell r="F116" t="str">
            <v>NITRON GROUP CORPORATION</v>
          </cell>
          <cell r="P116">
            <v>307.8</v>
          </cell>
          <cell r="R116" t="str">
            <v>CFR</v>
          </cell>
          <cell r="S116">
            <v>810</v>
          </cell>
          <cell r="Y116">
            <v>43035</v>
          </cell>
          <cell r="AF116" t="str">
            <v>CALLAO</v>
          </cell>
        </row>
        <row r="117">
          <cell r="C117" t="str">
            <v>MF-051B/17</v>
          </cell>
          <cell r="E117" t="str">
            <v>ÁCIDO FOSFÓRICO</v>
          </cell>
          <cell r="F117" t="str">
            <v>NITRON GROUP CORPORATION</v>
          </cell>
          <cell r="P117">
            <v>307.8</v>
          </cell>
          <cell r="R117" t="str">
            <v>CFR</v>
          </cell>
          <cell r="S117">
            <v>820</v>
          </cell>
          <cell r="Y117">
            <v>43044</v>
          </cell>
          <cell r="AF117" t="str">
            <v>PAITA</v>
          </cell>
        </row>
        <row r="118">
          <cell r="C118" t="str">
            <v>MF-052A/17</v>
          </cell>
          <cell r="E118" t="str">
            <v>ÁCIDO FOSFÓRICO</v>
          </cell>
          <cell r="F118" t="str">
            <v>NITRON GROUP CORPORATION</v>
          </cell>
          <cell r="P118">
            <v>179.55</v>
          </cell>
          <cell r="R118" t="str">
            <v>CFR</v>
          </cell>
          <cell r="S118">
            <v>810</v>
          </cell>
          <cell r="Y118">
            <v>43056</v>
          </cell>
          <cell r="AF118" t="str">
            <v>CALLAO</v>
          </cell>
        </row>
        <row r="119">
          <cell r="C119" t="str">
            <v>MF-052B/17</v>
          </cell>
          <cell r="E119" t="str">
            <v>ÁCIDO FOSFÓRICO</v>
          </cell>
          <cell r="F119" t="str">
            <v>NITRON GROUP CORPORATION</v>
          </cell>
          <cell r="P119">
            <v>230.85</v>
          </cell>
          <cell r="R119" t="str">
            <v>CFR</v>
          </cell>
          <cell r="S119">
            <v>820</v>
          </cell>
          <cell r="Y119">
            <v>43051</v>
          </cell>
          <cell r="AF119" t="str">
            <v>PAITA</v>
          </cell>
        </row>
        <row r="120">
          <cell r="C120" t="str">
            <v>MF-053A/17</v>
          </cell>
          <cell r="E120" t="str">
            <v>FOSFATO MONOAMÓNICO CRISTALIZADO</v>
          </cell>
          <cell r="F120" t="str">
            <v>NITRON GROUP CORPORATION</v>
          </cell>
          <cell r="P120">
            <v>200</v>
          </cell>
          <cell r="R120" t="str">
            <v>CFR</v>
          </cell>
          <cell r="S120">
            <v>653</v>
          </cell>
          <cell r="Y120">
            <v>43090</v>
          </cell>
          <cell r="AF120" t="str">
            <v>CALLAO</v>
          </cell>
        </row>
        <row r="121">
          <cell r="C121" t="str">
            <v>MF-053B/17</v>
          </cell>
          <cell r="E121" t="str">
            <v>FOSFATO MONOAMÓNICO CRISTALIZADO</v>
          </cell>
          <cell r="F121" t="str">
            <v>NITRON GROUP CORPORATION</v>
          </cell>
          <cell r="P121">
            <v>200</v>
          </cell>
          <cell r="R121" t="str">
            <v>CFR</v>
          </cell>
          <cell r="S121">
            <v>653</v>
          </cell>
          <cell r="Y121">
            <v>43089</v>
          </cell>
          <cell r="AF121" t="str">
            <v>PAITA</v>
          </cell>
        </row>
        <row r="122">
          <cell r="C122" t="str">
            <v>MF-054/17</v>
          </cell>
          <cell r="E122" t="str">
            <v>NITRATO DE POTASIO CRISTALIZADO (BIG BAG)</v>
          </cell>
          <cell r="F122" t="str">
            <v>ANAGRA</v>
          </cell>
          <cell r="P122">
            <v>100</v>
          </cell>
          <cell r="R122" t="str">
            <v>CFR</v>
          </cell>
          <cell r="S122">
            <v>760</v>
          </cell>
          <cell r="Y122">
            <v>43005</v>
          </cell>
          <cell r="AF122" t="str">
            <v>CALLAO</v>
          </cell>
        </row>
        <row r="123">
          <cell r="C123" t="str">
            <v>MF-055/17</v>
          </cell>
          <cell r="E123" t="str">
            <v>NITRATO DE CALCIO PREMIUM</v>
          </cell>
          <cell r="F123" t="str">
            <v>URALCHEM</v>
          </cell>
          <cell r="P123">
            <v>240</v>
          </cell>
          <cell r="R123" t="str">
            <v>CFR</v>
          </cell>
          <cell r="S123">
            <v>315</v>
          </cell>
          <cell r="Y123">
            <v>43063</v>
          </cell>
          <cell r="AF123" t="str">
            <v>CALLAO</v>
          </cell>
        </row>
        <row r="124">
          <cell r="C124" t="str">
            <v>MF-056A/17</v>
          </cell>
          <cell r="E124" t="str">
            <v>NITRATO DE CALCIO PREMIUM</v>
          </cell>
          <cell r="F124" t="str">
            <v>URALCHEM</v>
          </cell>
          <cell r="P124">
            <v>0</v>
          </cell>
          <cell r="R124">
            <v>0</v>
          </cell>
          <cell r="S124">
            <v>0</v>
          </cell>
          <cell r="Y124">
            <v>0</v>
          </cell>
          <cell r="AF124">
            <v>0</v>
          </cell>
        </row>
        <row r="125">
          <cell r="C125" t="str">
            <v>MF-056B/17</v>
          </cell>
          <cell r="E125" t="str">
            <v>NITRATO DE CALCIO PREMIUM</v>
          </cell>
          <cell r="F125" t="str">
            <v>URALCHEM</v>
          </cell>
          <cell r="P125">
            <v>95.75</v>
          </cell>
          <cell r="R125" t="str">
            <v>CFR</v>
          </cell>
          <cell r="S125">
            <v>320</v>
          </cell>
          <cell r="Y125">
            <v>43136</v>
          </cell>
          <cell r="AF125" t="str">
            <v>PAITA</v>
          </cell>
        </row>
        <row r="126">
          <cell r="C126" t="str">
            <v>MF-057A/17</v>
          </cell>
          <cell r="E126" t="str">
            <v>NITRATO DE CALCIO PREMIUM</v>
          </cell>
          <cell r="F126" t="str">
            <v>URALCHEM</v>
          </cell>
          <cell r="P126">
            <v>263.95</v>
          </cell>
          <cell r="R126" t="str">
            <v>CFR</v>
          </cell>
          <cell r="S126">
            <v>315</v>
          </cell>
          <cell r="Y126">
            <v>43133</v>
          </cell>
          <cell r="AF126" t="str">
            <v>CALLAO</v>
          </cell>
        </row>
        <row r="127">
          <cell r="C127" t="str">
            <v>MF-057B/17</v>
          </cell>
          <cell r="E127" t="str">
            <v>NITRATO DE CALCIO PREMIUM</v>
          </cell>
          <cell r="F127" t="str">
            <v>URALCHEM</v>
          </cell>
          <cell r="P127">
            <v>144</v>
          </cell>
          <cell r="R127" t="str">
            <v>CFR</v>
          </cell>
          <cell r="S127">
            <v>320</v>
          </cell>
          <cell r="Y127">
            <v>43157</v>
          </cell>
          <cell r="AF127" t="str">
            <v>PAITA</v>
          </cell>
        </row>
        <row r="128">
          <cell r="C128" t="str">
            <v>MF-058/17</v>
          </cell>
          <cell r="E128" t="str">
            <v>SULFATO DE POTASIO SOLUBLE</v>
          </cell>
          <cell r="F128" t="str">
            <v>KEYTRADE</v>
          </cell>
          <cell r="P128">
            <v>1000</v>
          </cell>
          <cell r="R128" t="str">
            <v>CFR</v>
          </cell>
          <cell r="S128">
            <v>505</v>
          </cell>
          <cell r="Y128">
            <v>43118</v>
          </cell>
          <cell r="AF128" t="str">
            <v>CALLAO</v>
          </cell>
        </row>
        <row r="129">
          <cell r="C129" t="str">
            <v>MF-059/17</v>
          </cell>
          <cell r="E129" t="str">
            <v>NITRATO DE MAGNESIO HEXAHIDRATADO</v>
          </cell>
          <cell r="F129" t="str">
            <v>SAMSUNG</v>
          </cell>
          <cell r="P129">
            <v>400.8</v>
          </cell>
          <cell r="R129" t="str">
            <v>CFR</v>
          </cell>
          <cell r="S129">
            <v>282</v>
          </cell>
          <cell r="Y129">
            <v>43090</v>
          </cell>
          <cell r="AF129" t="str">
            <v>CALLAO</v>
          </cell>
        </row>
        <row r="130">
          <cell r="C130" t="str">
            <v>MF-060/17</v>
          </cell>
          <cell r="E130" t="str">
            <v>DURANIT DURASOP X 1TM</v>
          </cell>
          <cell r="F130" t="str">
            <v>BLUELAND</v>
          </cell>
          <cell r="P130">
            <v>96</v>
          </cell>
          <cell r="R130" t="str">
            <v>CFR</v>
          </cell>
          <cell r="S130">
            <v>486</v>
          </cell>
          <cell r="Y130">
            <v>43046</v>
          </cell>
          <cell r="AF130" t="str">
            <v>CALLAO</v>
          </cell>
        </row>
        <row r="131">
          <cell r="C131" t="str">
            <v>MF-061A/17</v>
          </cell>
          <cell r="E131" t="str">
            <v>MICROMAX FE HBED X 1KG</v>
          </cell>
          <cell r="F131" t="str">
            <v>ICL PREMIUM FERTILIZERS</v>
          </cell>
          <cell r="P131">
            <v>4.2</v>
          </cell>
          <cell r="R131" t="str">
            <v>CIF</v>
          </cell>
          <cell r="S131">
            <v>12970</v>
          </cell>
          <cell r="Y131">
            <v>43168</v>
          </cell>
          <cell r="AF131" t="str">
            <v>CALLAO</v>
          </cell>
        </row>
        <row r="132">
          <cell r="C132" t="str">
            <v>MF-061B/17</v>
          </cell>
          <cell r="E132" t="str">
            <v>MICROMAX ZN EDTA X 1KG</v>
          </cell>
          <cell r="F132" t="str">
            <v>ICL PREMIUM FERTILIZERS</v>
          </cell>
          <cell r="P132">
            <v>2.1</v>
          </cell>
          <cell r="R132" t="str">
            <v>CIF</v>
          </cell>
          <cell r="S132">
            <v>5450</v>
          </cell>
          <cell r="Y132">
            <v>43168</v>
          </cell>
          <cell r="AF132" t="str">
            <v>CALLAO</v>
          </cell>
        </row>
        <row r="133">
          <cell r="C133" t="str">
            <v>MF-061C/17</v>
          </cell>
          <cell r="E133" t="str">
            <v>MICROMAX MN EDTA X 1KG</v>
          </cell>
          <cell r="F133" t="str">
            <v>ICL PREMIUM FERTILIZERS</v>
          </cell>
          <cell r="P133">
            <v>2.1</v>
          </cell>
          <cell r="R133" t="str">
            <v>CIF</v>
          </cell>
          <cell r="S133">
            <v>5450</v>
          </cell>
          <cell r="Y133">
            <v>43168</v>
          </cell>
          <cell r="AF133" t="str">
            <v>CALLAO</v>
          </cell>
        </row>
        <row r="134">
          <cell r="C134" t="str">
            <v>MF-062/17</v>
          </cell>
          <cell r="E134" t="str">
            <v>SULFATO DE POTASIO SOLUBLE</v>
          </cell>
          <cell r="F134" t="str">
            <v xml:space="preserve">HELIOPOTASSE SA  </v>
          </cell>
          <cell r="P134">
            <v>500</v>
          </cell>
          <cell r="R134" t="str">
            <v>CIF</v>
          </cell>
          <cell r="S134">
            <v>510</v>
          </cell>
          <cell r="Y134">
            <v>43096</v>
          </cell>
          <cell r="AF134" t="str">
            <v>PAITA</v>
          </cell>
        </row>
        <row r="135">
          <cell r="C135" t="str">
            <v>MF-063A/17</v>
          </cell>
          <cell r="E135" t="str">
            <v>NITRATO DE POTASIO CRISTALIZADO</v>
          </cell>
          <cell r="F135" t="str">
            <v>KEYTRADE</v>
          </cell>
          <cell r="P135">
            <v>125</v>
          </cell>
          <cell r="R135" t="str">
            <v>CPT</v>
          </cell>
          <cell r="S135">
            <v>825</v>
          </cell>
          <cell r="Y135">
            <v>43100</v>
          </cell>
          <cell r="AF135" t="str">
            <v>CALLAO</v>
          </cell>
        </row>
        <row r="136">
          <cell r="C136" t="str">
            <v>MF-063B/17</v>
          </cell>
          <cell r="E136" t="str">
            <v>NITRATO DE POTASIO CRISTALIZADO</v>
          </cell>
          <cell r="F136" t="str">
            <v>KEYTRADE</v>
          </cell>
          <cell r="P136">
            <v>75</v>
          </cell>
          <cell r="R136" t="str">
            <v>CPT</v>
          </cell>
          <cell r="S136">
            <v>830</v>
          </cell>
          <cell r="Y136">
            <v>43096</v>
          </cell>
          <cell r="AF136" t="str">
            <v>PAITA</v>
          </cell>
        </row>
        <row r="137">
          <cell r="C137" t="str">
            <v>MF-064/17</v>
          </cell>
          <cell r="E137" t="str">
            <v>SULFATO DE POTASIO SOLUBLE</v>
          </cell>
          <cell r="F137" t="str">
            <v>KEYTRADE</v>
          </cell>
          <cell r="P137">
            <v>1500</v>
          </cell>
          <cell r="R137" t="str">
            <v>CFR</v>
          </cell>
          <cell r="S137">
            <v>505</v>
          </cell>
          <cell r="Y137">
            <v>43108</v>
          </cell>
          <cell r="AF137" t="str">
            <v>PAITA</v>
          </cell>
        </row>
        <row r="138">
          <cell r="C138" t="str">
            <v>MF-065A/17</v>
          </cell>
          <cell r="E138" t="str">
            <v>NITRATO DE AMONIO</v>
          </cell>
          <cell r="F138" t="str">
            <v>GAVILON</v>
          </cell>
          <cell r="P138">
            <v>340</v>
          </cell>
          <cell r="R138" t="str">
            <v>CFR</v>
          </cell>
          <cell r="S138">
            <v>303</v>
          </cell>
          <cell r="Y138">
            <v>43063</v>
          </cell>
          <cell r="AF138" t="str">
            <v>PAITA</v>
          </cell>
        </row>
        <row r="139">
          <cell r="C139" t="str">
            <v>MF-065B/17</v>
          </cell>
          <cell r="E139" t="str">
            <v>NITRATO DE AMONIO</v>
          </cell>
          <cell r="F139" t="str">
            <v>GAVILON</v>
          </cell>
          <cell r="P139">
            <v>1100</v>
          </cell>
          <cell r="R139" t="str">
            <v>CFR</v>
          </cell>
          <cell r="S139">
            <v>303</v>
          </cell>
          <cell r="Y139">
            <v>43065</v>
          </cell>
          <cell r="AF139" t="str">
            <v>SALAVERRY</v>
          </cell>
        </row>
        <row r="140">
          <cell r="C140" t="str">
            <v>MF-065C/17</v>
          </cell>
          <cell r="E140" t="str">
            <v>NITRATO DE AMONIO</v>
          </cell>
          <cell r="F140" t="str">
            <v>GAVILON</v>
          </cell>
          <cell r="P140">
            <v>1130</v>
          </cell>
          <cell r="R140" t="str">
            <v>CFR</v>
          </cell>
          <cell r="S140">
            <v>303</v>
          </cell>
          <cell r="Y140">
            <v>43070</v>
          </cell>
          <cell r="AF140" t="str">
            <v>CALLAO</v>
          </cell>
        </row>
        <row r="141">
          <cell r="C141" t="str">
            <v>MF-065D/17</v>
          </cell>
          <cell r="E141" t="str">
            <v>NITRATO DE AMONIO</v>
          </cell>
          <cell r="F141" t="str">
            <v>GAVILON</v>
          </cell>
          <cell r="P141">
            <v>400</v>
          </cell>
          <cell r="R141" t="str">
            <v>CFR</v>
          </cell>
          <cell r="S141">
            <v>303</v>
          </cell>
          <cell r="Y141">
            <v>43072</v>
          </cell>
          <cell r="AF141" t="str">
            <v>PISCO</v>
          </cell>
        </row>
        <row r="142">
          <cell r="C142" t="str">
            <v>MF-065E/17</v>
          </cell>
          <cell r="E142" t="str">
            <v>NITRATO DE AMONIO</v>
          </cell>
          <cell r="F142" t="str">
            <v>GAVILON</v>
          </cell>
          <cell r="P142">
            <v>1030</v>
          </cell>
          <cell r="R142" t="str">
            <v>CFR</v>
          </cell>
          <cell r="S142">
            <v>303</v>
          </cell>
          <cell r="Y142">
            <v>43074</v>
          </cell>
          <cell r="AF142" t="str">
            <v>MATARANI</v>
          </cell>
        </row>
        <row r="143">
          <cell r="C143" t="str">
            <v>MF-066A/17</v>
          </cell>
          <cell r="E143" t="str">
            <v>FOSFATO DIAMÓNICO GRANULAR</v>
          </cell>
          <cell r="F143" t="str">
            <v>GAVILON</v>
          </cell>
          <cell r="P143">
            <v>380</v>
          </cell>
          <cell r="R143" t="str">
            <v>CFR</v>
          </cell>
          <cell r="S143">
            <v>385</v>
          </cell>
          <cell r="Y143">
            <v>43063</v>
          </cell>
          <cell r="AF143" t="str">
            <v>PAITA</v>
          </cell>
        </row>
        <row r="144">
          <cell r="C144" t="str">
            <v>MF-066B/17</v>
          </cell>
          <cell r="E144" t="str">
            <v>FOSFATO DIAMÓNICO GRANULAR</v>
          </cell>
          <cell r="F144" t="str">
            <v>GAVILON</v>
          </cell>
          <cell r="P144">
            <v>600</v>
          </cell>
          <cell r="R144" t="str">
            <v>CFR</v>
          </cell>
          <cell r="S144">
            <v>385</v>
          </cell>
          <cell r="Y144">
            <v>43065</v>
          </cell>
          <cell r="AF144" t="str">
            <v>SALAVERRY</v>
          </cell>
        </row>
        <row r="145">
          <cell r="C145" t="str">
            <v>MF-066C/17</v>
          </cell>
          <cell r="E145" t="str">
            <v>FOSFATO DIAMÓNICO GRANULAR</v>
          </cell>
          <cell r="F145" t="str">
            <v>GAVILON</v>
          </cell>
          <cell r="P145">
            <v>1770</v>
          </cell>
          <cell r="R145" t="str">
            <v>CFR</v>
          </cell>
          <cell r="S145">
            <v>385</v>
          </cell>
          <cell r="Y145">
            <v>43070</v>
          </cell>
          <cell r="AF145" t="str">
            <v>CALLAO</v>
          </cell>
        </row>
        <row r="146">
          <cell r="C146" t="str">
            <v>MF-066D/17</v>
          </cell>
          <cell r="E146" t="str">
            <v>FOSFATO DIAMÓNICO GRANULAR</v>
          </cell>
          <cell r="F146" t="str">
            <v>GAVILON</v>
          </cell>
          <cell r="P146">
            <v>450</v>
          </cell>
          <cell r="R146" t="str">
            <v>CFR</v>
          </cell>
          <cell r="S146">
            <v>385</v>
          </cell>
          <cell r="Y146">
            <v>43072</v>
          </cell>
          <cell r="AF146" t="str">
            <v>PISCO</v>
          </cell>
        </row>
        <row r="147">
          <cell r="C147" t="str">
            <v>MF-066E/17</v>
          </cell>
          <cell r="E147" t="str">
            <v>FOSFATO DIAMÓNICO GRANULAR</v>
          </cell>
          <cell r="F147" t="str">
            <v>GAVILON</v>
          </cell>
          <cell r="P147">
            <v>800</v>
          </cell>
          <cell r="R147" t="str">
            <v>CFR</v>
          </cell>
          <cell r="S147">
            <v>385</v>
          </cell>
          <cell r="Y147">
            <v>43074</v>
          </cell>
          <cell r="AF147" t="str">
            <v>MATARANI</v>
          </cell>
        </row>
        <row r="148">
          <cell r="C148" t="str">
            <v>MF-067/17</v>
          </cell>
          <cell r="E148" t="str">
            <v>NITRATO DE POTASIO CRISTALIZADO (BIG BAG)</v>
          </cell>
          <cell r="F148" t="str">
            <v>ANAGRA</v>
          </cell>
          <cell r="P148">
            <v>50</v>
          </cell>
          <cell r="R148" t="str">
            <v>CFR</v>
          </cell>
          <cell r="S148">
            <v>760</v>
          </cell>
          <cell r="Y148">
            <v>43019</v>
          </cell>
          <cell r="AF148" t="str">
            <v>CALLAO</v>
          </cell>
        </row>
        <row r="149">
          <cell r="C149" t="str">
            <v>MF-068A/17</v>
          </cell>
          <cell r="E149" t="str">
            <v>PEKACID</v>
          </cell>
          <cell r="F149" t="str">
            <v>ROTEM AMFERT NEGEV LTD (NovaPeak)</v>
          </cell>
          <cell r="P149">
            <v>24.5</v>
          </cell>
          <cell r="R149" t="str">
            <v>CIF</v>
          </cell>
          <cell r="S149">
            <v>1255</v>
          </cell>
          <cell r="Y149">
            <v>43077</v>
          </cell>
          <cell r="AF149" t="str">
            <v>CALLAO</v>
          </cell>
        </row>
        <row r="150">
          <cell r="C150" t="str">
            <v>MF-068B/17</v>
          </cell>
          <cell r="E150" t="str">
            <v>PEKACID</v>
          </cell>
          <cell r="F150" t="str">
            <v>ROTEM AMFERT NEGEV LTD (NovaPeak)</v>
          </cell>
          <cell r="P150">
            <v>73.5</v>
          </cell>
          <cell r="R150" t="str">
            <v>CIF</v>
          </cell>
          <cell r="S150">
            <v>1255</v>
          </cell>
          <cell r="Y150">
            <v>43086</v>
          </cell>
          <cell r="AF150" t="str">
            <v>PAITA</v>
          </cell>
        </row>
        <row r="151">
          <cell r="C151" t="str">
            <v>MF-069A/17</v>
          </cell>
          <cell r="E151" t="str">
            <v>PEKACID</v>
          </cell>
          <cell r="F151" t="str">
            <v>ROTEM AMFERT NEGEV LTD (NovaPeak)</v>
          </cell>
          <cell r="P151">
            <v>49.8</v>
          </cell>
          <cell r="R151" t="str">
            <v>CIF</v>
          </cell>
          <cell r="S151">
            <v>1255</v>
          </cell>
          <cell r="Y151">
            <v>43126</v>
          </cell>
          <cell r="AF151" t="str">
            <v>CALLAO</v>
          </cell>
        </row>
        <row r="152">
          <cell r="C152" t="str">
            <v>MF-069B/17</v>
          </cell>
          <cell r="E152" t="str">
            <v>PEKACID</v>
          </cell>
          <cell r="F152" t="str">
            <v>ROTEM AMFERT NEGEV LTD (NovaPeak)</v>
          </cell>
          <cell r="P152">
            <v>49</v>
          </cell>
          <cell r="R152" t="str">
            <v>CIF</v>
          </cell>
          <cell r="S152">
            <v>1255</v>
          </cell>
          <cell r="Y152">
            <v>43094</v>
          </cell>
          <cell r="AF152" t="str">
            <v>PAITA</v>
          </cell>
        </row>
        <row r="153">
          <cell r="C153" t="str">
            <v>MF-070A/17</v>
          </cell>
          <cell r="E153" t="str">
            <v>SULFATO DE AMONIO BLANCO ESTÁNDAR</v>
          </cell>
          <cell r="F153" t="str">
            <v>GAVILON FERTILIZER LLC</v>
          </cell>
          <cell r="P153">
            <v>3150</v>
          </cell>
          <cell r="R153" t="str">
            <v>CFR</v>
          </cell>
          <cell r="S153">
            <v>150</v>
          </cell>
          <cell r="Y153">
            <v>43065</v>
          </cell>
          <cell r="AF153" t="str">
            <v>PAITA</v>
          </cell>
        </row>
        <row r="154">
          <cell r="C154" t="str">
            <v>MF-070B/17</v>
          </cell>
          <cell r="E154" t="str">
            <v>SULFATO DE AMONIO BLANCO ESTÁNDAR</v>
          </cell>
          <cell r="F154" t="str">
            <v>GAVILON FERTILIZER LLC</v>
          </cell>
          <cell r="P154">
            <v>1500</v>
          </cell>
          <cell r="R154" t="str">
            <v>CFR</v>
          </cell>
          <cell r="S154">
            <v>150</v>
          </cell>
          <cell r="Y154">
            <v>43068</v>
          </cell>
          <cell r="AF154" t="str">
            <v>SALAVERRY</v>
          </cell>
        </row>
        <row r="155">
          <cell r="C155" t="str">
            <v>MF-070C/17</v>
          </cell>
          <cell r="E155" t="str">
            <v>SULFATO DE AMONIO BLANCO ESTÁNDAR</v>
          </cell>
          <cell r="F155" t="str">
            <v>GAVILON FERTILIZER LLC</v>
          </cell>
          <cell r="P155">
            <v>250</v>
          </cell>
          <cell r="R155" t="str">
            <v>CFR</v>
          </cell>
          <cell r="S155">
            <v>150</v>
          </cell>
          <cell r="Y155">
            <v>43072</v>
          </cell>
          <cell r="AF155" t="str">
            <v>CALLAO</v>
          </cell>
        </row>
        <row r="156">
          <cell r="C156" t="str">
            <v>MF-070D/17</v>
          </cell>
          <cell r="E156" t="str">
            <v>SULFATO DE AMONIO BLANCO ESTÁNDAR</v>
          </cell>
          <cell r="F156" t="str">
            <v>GAVILON FERTILIZER LLC</v>
          </cell>
          <cell r="P156">
            <v>100</v>
          </cell>
          <cell r="R156" t="str">
            <v>CFR</v>
          </cell>
          <cell r="S156">
            <v>150</v>
          </cell>
          <cell r="Y156">
            <v>43074</v>
          </cell>
          <cell r="AF156" t="str">
            <v>MATARANI</v>
          </cell>
        </row>
        <row r="157">
          <cell r="C157" t="str">
            <v>MF-071/17</v>
          </cell>
          <cell r="E157" t="str">
            <v>NITRATO DE POTASIO CRISTALIZADO (BIG BAG)</v>
          </cell>
          <cell r="F157" t="str">
            <v>ANAGRA</v>
          </cell>
          <cell r="P157">
            <v>150</v>
          </cell>
          <cell r="R157" t="str">
            <v>CFR</v>
          </cell>
          <cell r="S157">
            <v>760</v>
          </cell>
          <cell r="Y157">
            <v>43033</v>
          </cell>
          <cell r="AF157" t="str">
            <v>CALLAO</v>
          </cell>
        </row>
        <row r="158">
          <cell r="C158" t="str">
            <v>MF-072A/17</v>
          </cell>
          <cell r="E158" t="str">
            <v>OSMOCOTE PLUS 15-9-12 (6M)</v>
          </cell>
          <cell r="F158" t="str">
            <v>EVERRIS INTERNATIONAL B.V.</v>
          </cell>
          <cell r="P158">
            <v>4.5350000000000001</v>
          </cell>
          <cell r="R158" t="str">
            <v>CFR</v>
          </cell>
          <cell r="S158">
            <v>2352.753087100331</v>
          </cell>
          <cell r="Y158">
            <v>43083</v>
          </cell>
          <cell r="AF158" t="str">
            <v>CALLAO</v>
          </cell>
        </row>
        <row r="159">
          <cell r="C159" t="str">
            <v>MF-072B/17</v>
          </cell>
          <cell r="E159" t="str">
            <v>OSMOCOTE PLUS 15-9-12 (9M)</v>
          </cell>
          <cell r="F159" t="str">
            <v>EVERRIS INTERNATIONAL B.V.</v>
          </cell>
          <cell r="P159">
            <v>6.8025000000000002</v>
          </cell>
          <cell r="R159" t="str">
            <v>CFR</v>
          </cell>
          <cell r="S159">
            <v>2378.7730871003309</v>
          </cell>
          <cell r="Y159">
            <v>43083</v>
          </cell>
          <cell r="AF159" t="str">
            <v>CALLAO</v>
          </cell>
        </row>
        <row r="160">
          <cell r="C160" t="str">
            <v>MF-072C/17</v>
          </cell>
          <cell r="E160" t="str">
            <v>OSMOCOTE CLASSIC 19-6-12 (4M)</v>
          </cell>
          <cell r="F160" t="str">
            <v>EVERRIS INTERNATIONAL B.V.</v>
          </cell>
          <cell r="P160">
            <v>6.8025000000000002</v>
          </cell>
          <cell r="R160" t="str">
            <v>CFR</v>
          </cell>
          <cell r="S160">
            <v>2261.463087100331</v>
          </cell>
          <cell r="Y160">
            <v>43083</v>
          </cell>
          <cell r="AF160" t="str">
            <v>CALLAO</v>
          </cell>
        </row>
        <row r="161">
          <cell r="C161" t="str">
            <v>MF-073A/17</v>
          </cell>
          <cell r="E161" t="str">
            <v>POLISULFATO GRANULADO</v>
          </cell>
          <cell r="F161" t="str">
            <v>ICL EUROPE COOPERATIEF U.A.</v>
          </cell>
          <cell r="P161">
            <v>195.68</v>
          </cell>
          <cell r="R161" t="str">
            <v>CFR</v>
          </cell>
          <cell r="S161">
            <v>230</v>
          </cell>
          <cell r="Y161">
            <v>43084</v>
          </cell>
          <cell r="AF161" t="str">
            <v>CALLAO</v>
          </cell>
        </row>
        <row r="162">
          <cell r="C162" t="str">
            <v>MF-073B/17</v>
          </cell>
          <cell r="E162" t="str">
            <v>POLISULFATO GRANULADO</v>
          </cell>
          <cell r="F162" t="str">
            <v>ICL EUROPE COOPERATIEF U.A.</v>
          </cell>
          <cell r="P162">
            <v>195.71</v>
          </cell>
          <cell r="R162" t="str">
            <v>CFR</v>
          </cell>
          <cell r="S162">
            <v>230</v>
          </cell>
          <cell r="Y162">
            <v>43087</v>
          </cell>
          <cell r="AF162" t="str">
            <v>PAITA</v>
          </cell>
        </row>
        <row r="163">
          <cell r="C163" t="str">
            <v>MF-074A/17</v>
          </cell>
          <cell r="E163" t="str">
            <v>POLISULFATO GRANULADO</v>
          </cell>
          <cell r="F163" t="str">
            <v>ICL EUROPE COOPERATIEF U.A.</v>
          </cell>
          <cell r="P163">
            <v>195.71</v>
          </cell>
          <cell r="R163" t="str">
            <v>CFR</v>
          </cell>
          <cell r="S163">
            <v>230</v>
          </cell>
          <cell r="Y163">
            <v>43105</v>
          </cell>
          <cell r="AF163" t="str">
            <v>CALLAO</v>
          </cell>
        </row>
        <row r="164">
          <cell r="C164" t="str">
            <v>MF-074B/17</v>
          </cell>
          <cell r="E164" t="str">
            <v>POLISULFATO GRANULADO</v>
          </cell>
          <cell r="F164" t="str">
            <v>ICL EUROPE COOPERATIEF U.A.</v>
          </cell>
          <cell r="P164">
            <v>195.62</v>
          </cell>
          <cell r="R164" t="str">
            <v>CFR</v>
          </cell>
          <cell r="S164">
            <v>230</v>
          </cell>
          <cell r="Y164">
            <v>43129</v>
          </cell>
          <cell r="AF164" t="str">
            <v>PAITA</v>
          </cell>
        </row>
        <row r="165">
          <cell r="C165" t="str">
            <v>MF-075A/17</v>
          </cell>
          <cell r="E165" t="str">
            <v>POLISULFATO GRANULADO</v>
          </cell>
          <cell r="F165" t="str">
            <v>ICL EUROPE COOPERATIEF U.A.</v>
          </cell>
          <cell r="P165">
            <v>99.88</v>
          </cell>
          <cell r="R165" t="str">
            <v>CFR</v>
          </cell>
          <cell r="S165">
            <v>230</v>
          </cell>
          <cell r="Y165">
            <v>43154</v>
          </cell>
          <cell r="AF165" t="str">
            <v>CALLAO</v>
          </cell>
        </row>
        <row r="166">
          <cell r="C166" t="str">
            <v>MF-075B/17</v>
          </cell>
          <cell r="E166" t="str">
            <v>POLISULFATO GRANULADO</v>
          </cell>
          <cell r="F166" t="str">
            <v>ICL EUROPE COOPERATIEF U.A.</v>
          </cell>
          <cell r="P166">
            <v>99.96</v>
          </cell>
          <cell r="R166" t="str">
            <v>CFR</v>
          </cell>
          <cell r="S166">
            <v>230</v>
          </cell>
          <cell r="Y166">
            <v>43157</v>
          </cell>
          <cell r="AF166" t="str">
            <v>PAITA</v>
          </cell>
        </row>
        <row r="167">
          <cell r="C167" t="str">
            <v>MF-076/17</v>
          </cell>
          <cell r="E167" t="str">
            <v>SULFATO DE POTASIO SOLUBLE</v>
          </cell>
          <cell r="F167" t="str">
            <v xml:space="preserve">HELIOPOTASSE SA  </v>
          </cell>
          <cell r="P167">
            <v>500</v>
          </cell>
          <cell r="R167" t="str">
            <v>CIF</v>
          </cell>
          <cell r="S167">
            <v>510</v>
          </cell>
          <cell r="Y167">
            <v>43107</v>
          </cell>
          <cell r="AF167" t="str">
            <v>PAITA</v>
          </cell>
        </row>
        <row r="168">
          <cell r="C168" t="str">
            <v>MF-077A/17</v>
          </cell>
          <cell r="E168" t="str">
            <v>NITRATO DE AMONIO</v>
          </cell>
          <cell r="F168" t="str">
            <v>GAVILON</v>
          </cell>
          <cell r="P168">
            <v>550</v>
          </cell>
          <cell r="R168" t="str">
            <v>CFR</v>
          </cell>
          <cell r="S168">
            <v>307.5</v>
          </cell>
          <cell r="Y168">
            <v>43112</v>
          </cell>
          <cell r="AF168" t="str">
            <v>PAITA</v>
          </cell>
        </row>
        <row r="169">
          <cell r="C169" t="str">
            <v>MF-077B/17</v>
          </cell>
          <cell r="E169" t="str">
            <v>NITRATO DE AMONIO</v>
          </cell>
          <cell r="F169" t="str">
            <v>GAVILON</v>
          </cell>
          <cell r="P169">
            <v>900</v>
          </cell>
          <cell r="R169" t="str">
            <v>CFR</v>
          </cell>
          <cell r="S169">
            <v>307.5</v>
          </cell>
          <cell r="Y169">
            <v>43114</v>
          </cell>
          <cell r="AF169" t="str">
            <v>SALAVERRY</v>
          </cell>
        </row>
        <row r="170">
          <cell r="C170" t="str">
            <v>MF-077C/17</v>
          </cell>
          <cell r="E170" t="str">
            <v>NITRATO DE AMONIO</v>
          </cell>
          <cell r="F170" t="str">
            <v>GAVILON</v>
          </cell>
          <cell r="P170">
            <v>900</v>
          </cell>
          <cell r="R170" t="str">
            <v>CFR</v>
          </cell>
          <cell r="S170">
            <v>307.5</v>
          </cell>
          <cell r="Y170">
            <v>43116</v>
          </cell>
          <cell r="AF170" t="str">
            <v>CALLAO</v>
          </cell>
        </row>
        <row r="171">
          <cell r="C171" t="str">
            <v>MF-077D/17</v>
          </cell>
          <cell r="E171" t="str">
            <v>NITRATO DE AMONIO</v>
          </cell>
          <cell r="F171" t="str">
            <v>GAVILON</v>
          </cell>
          <cell r="P171">
            <v>750</v>
          </cell>
          <cell r="R171" t="str">
            <v>CFR</v>
          </cell>
          <cell r="S171">
            <v>307.5</v>
          </cell>
          <cell r="Y171">
            <v>43118</v>
          </cell>
          <cell r="AF171" t="str">
            <v>PISCO</v>
          </cell>
        </row>
        <row r="172">
          <cell r="C172" t="str">
            <v>MF-077E/17</v>
          </cell>
          <cell r="E172" t="str">
            <v>NITRATO DE AMONIO</v>
          </cell>
          <cell r="F172" t="str">
            <v>GAVILON</v>
          </cell>
          <cell r="P172">
            <v>900</v>
          </cell>
          <cell r="R172" t="str">
            <v>CFR</v>
          </cell>
          <cell r="S172">
            <v>307.5</v>
          </cell>
          <cell r="Y172">
            <v>43121</v>
          </cell>
          <cell r="AF172" t="str">
            <v>MATARANI</v>
          </cell>
        </row>
        <row r="173">
          <cell r="C173" t="str">
            <v>MF-078A/17</v>
          </cell>
          <cell r="E173" t="str">
            <v>UREA PERLADA</v>
          </cell>
          <cell r="F173" t="str">
            <v>GAVILON</v>
          </cell>
          <cell r="P173">
            <v>900</v>
          </cell>
          <cell r="R173" t="str">
            <v>CFR</v>
          </cell>
          <cell r="S173">
            <v>318.25</v>
          </cell>
          <cell r="Y173">
            <v>43112</v>
          </cell>
          <cell r="AF173" t="str">
            <v>PAITA</v>
          </cell>
        </row>
        <row r="174">
          <cell r="C174" t="str">
            <v>MF-078B/17</v>
          </cell>
          <cell r="E174" t="str">
            <v>UREA PERLADA</v>
          </cell>
          <cell r="F174" t="str">
            <v>GAVILON</v>
          </cell>
          <cell r="P174">
            <v>600</v>
          </cell>
          <cell r="R174" t="str">
            <v>CFR</v>
          </cell>
          <cell r="S174">
            <v>318.25</v>
          </cell>
          <cell r="Y174">
            <v>43114</v>
          </cell>
          <cell r="AF174" t="str">
            <v>SALAVERRY</v>
          </cell>
        </row>
        <row r="175">
          <cell r="C175" t="str">
            <v>MF-078C/17</v>
          </cell>
          <cell r="E175" t="str">
            <v>UREA PERLADA</v>
          </cell>
          <cell r="F175" t="str">
            <v>GAVILON</v>
          </cell>
          <cell r="P175">
            <v>500</v>
          </cell>
          <cell r="R175" t="str">
            <v>CFR</v>
          </cell>
          <cell r="S175">
            <v>318.25</v>
          </cell>
          <cell r="Y175">
            <v>43116</v>
          </cell>
          <cell r="AF175" t="str">
            <v>CALLAO</v>
          </cell>
        </row>
        <row r="176">
          <cell r="C176" t="str">
            <v>MF-078D/17</v>
          </cell>
          <cell r="E176" t="str">
            <v>UREA PERLADA</v>
          </cell>
          <cell r="F176" t="str">
            <v>GAVILON</v>
          </cell>
          <cell r="P176">
            <v>750</v>
          </cell>
          <cell r="R176" t="str">
            <v>CFR</v>
          </cell>
          <cell r="S176">
            <v>318.25</v>
          </cell>
          <cell r="Y176">
            <v>43121</v>
          </cell>
          <cell r="AF176" t="str">
            <v>MATARANI</v>
          </cell>
        </row>
        <row r="177">
          <cell r="C177" t="str">
            <v>MF-079A/17</v>
          </cell>
          <cell r="E177" t="str">
            <v>CLORURO DE POTASIO ROJO GRANULAR</v>
          </cell>
          <cell r="F177" t="str">
            <v>URALKALI</v>
          </cell>
          <cell r="P177">
            <v>520</v>
          </cell>
          <cell r="R177" t="str">
            <v>CFR</v>
          </cell>
          <cell r="S177">
            <v>284.25</v>
          </cell>
          <cell r="Y177">
            <v>43112</v>
          </cell>
          <cell r="AF177" t="str">
            <v>PAITA</v>
          </cell>
        </row>
        <row r="178">
          <cell r="C178" t="str">
            <v>MF-079B/17</v>
          </cell>
          <cell r="E178" t="str">
            <v>CLORURO DE POTASIO ROJO GRANULAR</v>
          </cell>
          <cell r="F178" t="str">
            <v>URALKALI</v>
          </cell>
          <cell r="P178">
            <v>940</v>
          </cell>
          <cell r="R178" t="str">
            <v>CFR</v>
          </cell>
          <cell r="S178">
            <v>284.25</v>
          </cell>
          <cell r="Y178">
            <v>43114</v>
          </cell>
          <cell r="AF178" t="str">
            <v>SALAVERRY</v>
          </cell>
        </row>
        <row r="179">
          <cell r="C179" t="str">
            <v>MF-079C/17</v>
          </cell>
          <cell r="E179" t="str">
            <v>CLORURO DE POTASIO ROJO GRANULAR</v>
          </cell>
          <cell r="F179" t="str">
            <v>URALKALI</v>
          </cell>
          <cell r="P179">
            <v>2150</v>
          </cell>
          <cell r="R179" t="str">
            <v>CFR</v>
          </cell>
          <cell r="S179">
            <v>284.25</v>
          </cell>
          <cell r="Y179">
            <v>43116</v>
          </cell>
          <cell r="AF179" t="str">
            <v>CALLAO</v>
          </cell>
        </row>
        <row r="180">
          <cell r="C180" t="str">
            <v>MF-079D/17</v>
          </cell>
          <cell r="E180" t="str">
            <v>CLORURO DE POTASIO ROJO GRANULAR</v>
          </cell>
          <cell r="F180" t="str">
            <v>URALKALI</v>
          </cell>
          <cell r="P180">
            <v>324.10000000000002</v>
          </cell>
          <cell r="R180" t="str">
            <v>CFR</v>
          </cell>
          <cell r="S180">
            <v>284.25</v>
          </cell>
          <cell r="Y180">
            <v>43118</v>
          </cell>
          <cell r="AF180" t="str">
            <v>PISCO</v>
          </cell>
        </row>
        <row r="181">
          <cell r="C181" t="str">
            <v>MF-080A/17</v>
          </cell>
          <cell r="E181" t="str">
            <v>CLORURO DE POTASIO BLANCO ESTANDAR</v>
          </cell>
          <cell r="F181" t="str">
            <v>URALKALI</v>
          </cell>
          <cell r="P181">
            <v>500</v>
          </cell>
          <cell r="R181" t="str">
            <v>CFR</v>
          </cell>
          <cell r="S181">
            <v>269.25</v>
          </cell>
          <cell r="Y181">
            <v>43112</v>
          </cell>
          <cell r="AF181" t="str">
            <v>PAITA</v>
          </cell>
        </row>
        <row r="182">
          <cell r="C182" t="str">
            <v>MF-080B/17</v>
          </cell>
          <cell r="E182" t="str">
            <v>CLORURO DE POTASIO BLANCO ESTANDAR</v>
          </cell>
          <cell r="F182" t="str">
            <v>URALKALI</v>
          </cell>
          <cell r="P182">
            <v>1650</v>
          </cell>
          <cell r="R182" t="str">
            <v>CFR</v>
          </cell>
          <cell r="S182">
            <v>269.25</v>
          </cell>
          <cell r="Y182">
            <v>43114</v>
          </cell>
          <cell r="AF182" t="str">
            <v>SALAVERRY</v>
          </cell>
        </row>
        <row r="183">
          <cell r="C183" t="str">
            <v>MF-080C/17</v>
          </cell>
          <cell r="E183" t="str">
            <v>CLORURO DE POTASIO BLANCO ESTANDAR</v>
          </cell>
          <cell r="F183" t="str">
            <v>URALKALI</v>
          </cell>
          <cell r="P183">
            <v>150</v>
          </cell>
          <cell r="R183" t="str">
            <v>CFR</v>
          </cell>
          <cell r="S183">
            <v>269.25</v>
          </cell>
          <cell r="Y183">
            <v>43118</v>
          </cell>
          <cell r="AF183" t="str">
            <v>PISCO</v>
          </cell>
        </row>
        <row r="184">
          <cell r="C184" t="str">
            <v>MF-080D/17</v>
          </cell>
          <cell r="E184" t="str">
            <v>CLORURO DE POTASIO BLANCO ESTANDAR</v>
          </cell>
          <cell r="F184" t="str">
            <v>URALKALI</v>
          </cell>
          <cell r="P184">
            <v>200.70599999999999</v>
          </cell>
          <cell r="R184" t="str">
            <v>CFR</v>
          </cell>
          <cell r="S184">
            <v>269.25</v>
          </cell>
          <cell r="Y184">
            <v>43121</v>
          </cell>
          <cell r="AF184" t="str">
            <v>MATARANI</v>
          </cell>
        </row>
        <row r="185">
          <cell r="C185" t="str">
            <v>MF-081/17</v>
          </cell>
          <cell r="E185" t="str">
            <v>NITRATO DE CALCIO PREMIUM</v>
          </cell>
          <cell r="F185" t="str">
            <v>URALCHEM</v>
          </cell>
          <cell r="P185">
            <v>312</v>
          </cell>
          <cell r="R185" t="str">
            <v>CFR</v>
          </cell>
          <cell r="S185">
            <v>320</v>
          </cell>
          <cell r="Y185">
            <v>43136</v>
          </cell>
          <cell r="AF185" t="str">
            <v>PAITA</v>
          </cell>
        </row>
        <row r="186">
          <cell r="C186" t="str">
            <v>MF-082A1/17</v>
          </cell>
          <cell r="E186" t="str">
            <v>ÁCIDO FOSFÓRICO</v>
          </cell>
          <cell r="F186" t="str">
            <v>NITRON GROUP CORPORATION</v>
          </cell>
          <cell r="P186">
            <v>51.3</v>
          </cell>
          <cell r="R186" t="str">
            <v>CFR</v>
          </cell>
          <cell r="S186">
            <v>876</v>
          </cell>
          <cell r="Y186">
            <v>43147</v>
          </cell>
          <cell r="AF186" t="str">
            <v>CALLAO</v>
          </cell>
        </row>
        <row r="187">
          <cell r="C187" t="str">
            <v>MF-082A2/17</v>
          </cell>
          <cell r="E187" t="str">
            <v>ÁCIDO FOSFÓRICO</v>
          </cell>
          <cell r="F187" t="str">
            <v>NITRON GROUP CORPORATION</v>
          </cell>
          <cell r="P187">
            <v>256.5</v>
          </cell>
          <cell r="R187" t="str">
            <v>CFR</v>
          </cell>
          <cell r="S187">
            <v>876</v>
          </cell>
          <cell r="Y187">
            <v>43133</v>
          </cell>
          <cell r="AF187" t="str">
            <v>CALLAO</v>
          </cell>
        </row>
        <row r="188">
          <cell r="C188" t="str">
            <v>MF-082B/17</v>
          </cell>
          <cell r="E188" t="str">
            <v>ÁCIDO FOSFÓRICO</v>
          </cell>
          <cell r="F188" t="str">
            <v>NITRON GROUP CORPORATION</v>
          </cell>
          <cell r="P188">
            <v>307.8</v>
          </cell>
          <cell r="R188" t="str">
            <v>CFR</v>
          </cell>
          <cell r="S188">
            <v>886</v>
          </cell>
          <cell r="Y188">
            <v>43129</v>
          </cell>
          <cell r="AF188" t="str">
            <v>PAITA</v>
          </cell>
        </row>
        <row r="189">
          <cell r="C189" t="str">
            <v>MF-083A1/17</v>
          </cell>
          <cell r="E189" t="str">
            <v>ÁCIDO FOSFÓRICO</v>
          </cell>
          <cell r="F189" t="str">
            <v>NITRON GROUP CORPORATION</v>
          </cell>
          <cell r="P189">
            <v>25.65</v>
          </cell>
          <cell r="R189" t="str">
            <v>CFR</v>
          </cell>
          <cell r="S189">
            <v>876</v>
          </cell>
          <cell r="Y189">
            <v>43138</v>
          </cell>
          <cell r="AF189" t="str">
            <v>CALLAO</v>
          </cell>
        </row>
        <row r="190">
          <cell r="C190" t="str">
            <v>MF-083A2/17</v>
          </cell>
          <cell r="E190" t="str">
            <v>ÁCIDO FOSFÓRICO</v>
          </cell>
          <cell r="F190" t="str">
            <v>NITRON GROUP CORPORATION</v>
          </cell>
          <cell r="P190">
            <v>282.14999999999998</v>
          </cell>
          <cell r="R190" t="str">
            <v>CFR</v>
          </cell>
          <cell r="S190">
            <v>876</v>
          </cell>
          <cell r="Y190">
            <v>43147</v>
          </cell>
          <cell r="AF190" t="str">
            <v>CALLAO</v>
          </cell>
        </row>
        <row r="191">
          <cell r="C191" t="str">
            <v>MF-083B/17</v>
          </cell>
          <cell r="E191" t="str">
            <v>ÁCIDO FOSFÓRICO</v>
          </cell>
          <cell r="F191" t="str">
            <v>NITRON GROUP CORPORATION</v>
          </cell>
          <cell r="P191">
            <v>307.8</v>
          </cell>
          <cell r="R191" t="str">
            <v>CFR</v>
          </cell>
          <cell r="S191">
            <v>886</v>
          </cell>
          <cell r="Y191">
            <v>43136</v>
          </cell>
          <cell r="AF191" t="str">
            <v>PAITA</v>
          </cell>
        </row>
        <row r="192">
          <cell r="C192" t="str">
            <v>MF-084/17</v>
          </cell>
          <cell r="E192" t="str">
            <v xml:space="preserve">SULFATO DE MAGNESIO HEPTAHIDRATADO </v>
          </cell>
          <cell r="F192" t="str">
            <v>STAR GRACE MINING CO.,LTD</v>
          </cell>
          <cell r="P192">
            <v>900</v>
          </cell>
          <cell r="R192" t="str">
            <v>CFR</v>
          </cell>
          <cell r="S192">
            <v>146</v>
          </cell>
          <cell r="Y192">
            <v>43142</v>
          </cell>
          <cell r="AF192" t="str">
            <v>CALLAO</v>
          </cell>
        </row>
        <row r="193">
          <cell r="C193" t="str">
            <v>MF-085/17</v>
          </cell>
          <cell r="E193" t="str">
            <v xml:space="preserve">SULFATO DE MAGNESIO HEPTAHIDRATADO </v>
          </cell>
          <cell r="F193" t="str">
            <v>STAR GRACE MINING CO.,LTD</v>
          </cell>
          <cell r="P193">
            <v>399</v>
          </cell>
          <cell r="R193" t="str">
            <v>CFR</v>
          </cell>
          <cell r="S193">
            <v>169</v>
          </cell>
          <cell r="Y193">
            <v>43136</v>
          </cell>
          <cell r="AF193" t="str">
            <v>PAITA</v>
          </cell>
        </row>
        <row r="194">
          <cell r="C194" t="str">
            <v>MF-086A/17</v>
          </cell>
          <cell r="E194" t="str">
            <v>NITRATO DE CALCIO PREMIUM</v>
          </cell>
          <cell r="F194" t="str">
            <v>URALCHEM</v>
          </cell>
          <cell r="P194">
            <v>239.22499999999999</v>
          </cell>
          <cell r="R194" t="str">
            <v>CFR</v>
          </cell>
          <cell r="S194">
            <v>315</v>
          </cell>
          <cell r="Y194">
            <v>43228</v>
          </cell>
          <cell r="AF194" t="str">
            <v>CALLAO</v>
          </cell>
        </row>
        <row r="195">
          <cell r="C195" t="str">
            <v>MF-086B/17</v>
          </cell>
          <cell r="E195" t="str">
            <v>NITRATO DE CALCIO PREMIUM</v>
          </cell>
          <cell r="F195" t="str">
            <v>URALCHEM</v>
          </cell>
          <cell r="P195">
            <v>240</v>
          </cell>
          <cell r="R195" t="str">
            <v>CFR</v>
          </cell>
          <cell r="S195">
            <v>320</v>
          </cell>
          <cell r="Y195">
            <v>43227</v>
          </cell>
          <cell r="AF195" t="str">
            <v>PAITA</v>
          </cell>
        </row>
        <row r="196">
          <cell r="C196" t="str">
            <v>MF-087A/17</v>
          </cell>
          <cell r="E196" t="str">
            <v>FOSFATO DIAMÓNICO GRANULAR</v>
          </cell>
          <cell r="F196" t="str">
            <v xml:space="preserve">TGO Agriculture (USA) Inc. </v>
          </cell>
          <cell r="P196">
            <v>1100</v>
          </cell>
          <cell r="R196" t="str">
            <v>CFR</v>
          </cell>
          <cell r="S196">
            <v>414.5</v>
          </cell>
          <cell r="Y196">
            <v>43084</v>
          </cell>
          <cell r="AF196" t="str">
            <v>PAITA</v>
          </cell>
        </row>
        <row r="197">
          <cell r="C197" t="str">
            <v>MF-087B/17</v>
          </cell>
          <cell r="E197" t="str">
            <v>FOSFATO DIAMÓNICO GRANULAR</v>
          </cell>
          <cell r="F197" t="str">
            <v xml:space="preserve">TGO Agriculture (USA) Inc. </v>
          </cell>
          <cell r="P197">
            <v>880</v>
          </cell>
          <cell r="R197" t="str">
            <v>CFR</v>
          </cell>
          <cell r="S197">
            <v>414.5</v>
          </cell>
          <cell r="Y197">
            <v>43086</v>
          </cell>
          <cell r="AF197" t="str">
            <v>SALAVERRY</v>
          </cell>
        </row>
        <row r="198">
          <cell r="C198" t="str">
            <v>MF-087C/17</v>
          </cell>
          <cell r="E198" t="str">
            <v>FOSFATO DIAMÓNICO GRANULAR</v>
          </cell>
          <cell r="F198" t="str">
            <v xml:space="preserve">TGO Agriculture (USA) Inc. </v>
          </cell>
          <cell r="P198">
            <v>1430</v>
          </cell>
          <cell r="R198" t="str">
            <v>CFR</v>
          </cell>
          <cell r="S198">
            <v>414.5</v>
          </cell>
          <cell r="Y198">
            <v>43089</v>
          </cell>
          <cell r="AF198" t="str">
            <v>CALLAO</v>
          </cell>
        </row>
        <row r="199">
          <cell r="C199" t="str">
            <v>MF-087D/17</v>
          </cell>
          <cell r="E199" t="str">
            <v>FOSFATO DIAMÓNICO GRANULAR</v>
          </cell>
          <cell r="F199" t="str">
            <v xml:space="preserve">TGO Agriculture (USA) Inc. </v>
          </cell>
          <cell r="P199">
            <v>550</v>
          </cell>
          <cell r="R199" t="str">
            <v>CFR</v>
          </cell>
          <cell r="S199">
            <v>414.5</v>
          </cell>
          <cell r="Y199">
            <v>43091</v>
          </cell>
          <cell r="AF199" t="str">
            <v>PISCO</v>
          </cell>
        </row>
        <row r="200">
          <cell r="C200" t="str">
            <v>MF-087E/17</v>
          </cell>
          <cell r="E200" t="str">
            <v>FOSFATO DIAMÓNICO GRANULAR</v>
          </cell>
          <cell r="F200" t="str">
            <v xml:space="preserve">TGO Agriculture (USA) Inc. </v>
          </cell>
          <cell r="P200">
            <v>1540</v>
          </cell>
          <cell r="R200" t="str">
            <v>CFR</v>
          </cell>
          <cell r="S200">
            <v>414.5</v>
          </cell>
          <cell r="Y200">
            <v>43096</v>
          </cell>
          <cell r="AF200" t="str">
            <v>MATARANI</v>
          </cell>
        </row>
        <row r="201">
          <cell r="C201" t="str">
            <v>MF-088A/17</v>
          </cell>
          <cell r="E201" t="str">
            <v>SULFATO DE AMONIO BLANCO ESTÁNDAR</v>
          </cell>
          <cell r="F201" t="str">
            <v xml:space="preserve">TGO Agriculture (USA) Inc. </v>
          </cell>
          <cell r="P201">
            <v>495</v>
          </cell>
          <cell r="R201" t="str">
            <v>CFR</v>
          </cell>
          <cell r="S201">
            <v>152</v>
          </cell>
          <cell r="Y201">
            <v>43088</v>
          </cell>
          <cell r="AF201" t="str">
            <v>CALLAO</v>
          </cell>
        </row>
        <row r="202">
          <cell r="C202" t="str">
            <v>MF-088B/17</v>
          </cell>
          <cell r="E202" t="str">
            <v>SULFATO DE AMONIO BLANCO ESTÁNDAR</v>
          </cell>
          <cell r="F202" t="str">
            <v xml:space="preserve">TGO Agriculture (USA) Inc. </v>
          </cell>
          <cell r="P202">
            <v>330</v>
          </cell>
          <cell r="R202" t="str">
            <v>CFR</v>
          </cell>
          <cell r="S202">
            <v>152</v>
          </cell>
          <cell r="Y202">
            <v>43090</v>
          </cell>
          <cell r="AF202" t="str">
            <v>PISCO</v>
          </cell>
        </row>
        <row r="203">
          <cell r="C203" t="str">
            <v>MF-088C/17</v>
          </cell>
          <cell r="E203" t="str">
            <v>SULFATO DE AMONIO BLANCO ESTÁNDAR</v>
          </cell>
          <cell r="F203" t="str">
            <v xml:space="preserve">TGO Agriculture (USA) Inc. </v>
          </cell>
          <cell r="P203">
            <v>605</v>
          </cell>
          <cell r="R203" t="str">
            <v>CFR</v>
          </cell>
          <cell r="S203">
            <v>152</v>
          </cell>
          <cell r="Y203">
            <v>43096</v>
          </cell>
          <cell r="AF203" t="str">
            <v>MATARANI</v>
          </cell>
        </row>
        <row r="204">
          <cell r="C204" t="str">
            <v>MF-089A/17</v>
          </cell>
          <cell r="E204" t="str">
            <v>UREA PERLADA</v>
          </cell>
          <cell r="F204" t="str">
            <v>NITRON GROUP CORPORATION</v>
          </cell>
          <cell r="P204">
            <v>2800</v>
          </cell>
          <cell r="R204" t="str">
            <v>CFR</v>
          </cell>
          <cell r="S204">
            <v>263.5</v>
          </cell>
          <cell r="Y204">
            <v>43168</v>
          </cell>
          <cell r="AF204" t="str">
            <v>PAITA</v>
          </cell>
        </row>
        <row r="205">
          <cell r="C205" t="str">
            <v>MF-089B/17</v>
          </cell>
          <cell r="E205" t="str">
            <v>UREA PERLADA</v>
          </cell>
          <cell r="F205" t="str">
            <v>NITRON GROUP CORPORATION</v>
          </cell>
          <cell r="P205">
            <v>3500</v>
          </cell>
          <cell r="R205" t="str">
            <v>CFR</v>
          </cell>
          <cell r="S205">
            <v>263.5</v>
          </cell>
          <cell r="Y205">
            <v>43171</v>
          </cell>
          <cell r="AF205" t="str">
            <v>SALAVERRY</v>
          </cell>
        </row>
        <row r="206">
          <cell r="C206" t="str">
            <v>MF-089C/17</v>
          </cell>
          <cell r="E206" t="str">
            <v>UREA PERLADA</v>
          </cell>
          <cell r="F206" t="str">
            <v>NITRON GROUP CORPORATION</v>
          </cell>
          <cell r="P206">
            <v>3400</v>
          </cell>
          <cell r="R206" t="str">
            <v>CFR</v>
          </cell>
          <cell r="S206">
            <v>263.5</v>
          </cell>
          <cell r="Y206">
            <v>43174</v>
          </cell>
          <cell r="AF206" t="str">
            <v>CALLAO</v>
          </cell>
        </row>
        <row r="207">
          <cell r="C207" t="str">
            <v>MF-089D/17</v>
          </cell>
          <cell r="E207" t="str">
            <v>UREA PERLADA</v>
          </cell>
          <cell r="F207" t="str">
            <v>NITRON GROUP CORPORATION</v>
          </cell>
          <cell r="P207">
            <v>2200</v>
          </cell>
          <cell r="R207" t="str">
            <v>CFR</v>
          </cell>
          <cell r="S207">
            <v>263.5</v>
          </cell>
          <cell r="Y207">
            <v>43178</v>
          </cell>
          <cell r="AF207" t="str">
            <v>MATARANI</v>
          </cell>
        </row>
        <row r="208">
          <cell r="C208" t="str">
            <v>MF-090A/17</v>
          </cell>
          <cell r="E208" t="str">
            <v>UREA GRANULADA</v>
          </cell>
          <cell r="F208" t="str">
            <v>NITRON GROUP CORPORATION</v>
          </cell>
          <cell r="P208">
            <v>1400</v>
          </cell>
          <cell r="R208" t="str">
            <v>CFR</v>
          </cell>
          <cell r="S208">
            <v>273.5</v>
          </cell>
          <cell r="Y208">
            <v>43168</v>
          </cell>
          <cell r="AF208" t="str">
            <v>PAITA</v>
          </cell>
        </row>
        <row r="209">
          <cell r="C209" t="str">
            <v>MF-090B/17</v>
          </cell>
          <cell r="E209" t="str">
            <v>UREA GRANULADA</v>
          </cell>
          <cell r="F209" t="str">
            <v>NITRON GROUP CORPORATION</v>
          </cell>
          <cell r="P209">
            <v>1000</v>
          </cell>
          <cell r="R209" t="str">
            <v>CFR</v>
          </cell>
          <cell r="S209">
            <v>273.5</v>
          </cell>
          <cell r="Y209">
            <v>43171</v>
          </cell>
          <cell r="AF209" t="str">
            <v>SALAVERRY</v>
          </cell>
        </row>
        <row r="210">
          <cell r="C210" t="str">
            <v>MF-090C/17</v>
          </cell>
          <cell r="E210" t="str">
            <v>UREA GRANULADA</v>
          </cell>
          <cell r="F210" t="str">
            <v>NITRON GROUP CORPORATION</v>
          </cell>
          <cell r="P210">
            <v>1200</v>
          </cell>
          <cell r="R210" t="str">
            <v>CFR</v>
          </cell>
          <cell r="S210">
            <v>273.5</v>
          </cell>
          <cell r="Y210">
            <v>43174</v>
          </cell>
          <cell r="AF210" t="str">
            <v>CALLAO</v>
          </cell>
        </row>
        <row r="211">
          <cell r="C211" t="str">
            <v>MF-090D/17</v>
          </cell>
          <cell r="E211" t="str">
            <v>UREA GRANULADA</v>
          </cell>
          <cell r="F211" t="str">
            <v>NITRON GROUP CORPORATION</v>
          </cell>
          <cell r="P211">
            <v>0</v>
          </cell>
          <cell r="R211">
            <v>0</v>
          </cell>
          <cell r="S211">
            <v>0</v>
          </cell>
          <cell r="Y211">
            <v>0</v>
          </cell>
          <cell r="AF211">
            <v>0</v>
          </cell>
        </row>
        <row r="212">
          <cell r="C212" t="str">
            <v>MF-091/17</v>
          </cell>
          <cell r="E212" t="str">
            <v>OSMOCOTE PLUS 15-9-12 (6M)</v>
          </cell>
          <cell r="F212" t="str">
            <v>EVERRIS INTERNATIONAL B.V.</v>
          </cell>
          <cell r="P212">
            <v>17.236509999999999</v>
          </cell>
          <cell r="R212" t="str">
            <v>CFR</v>
          </cell>
          <cell r="S212">
            <v>2247.9839999999999</v>
          </cell>
          <cell r="Y212">
            <v>43174</v>
          </cell>
          <cell r="AF212" t="str">
            <v>CALLAO</v>
          </cell>
        </row>
        <row r="213">
          <cell r="C213" t="str">
            <v>MF-092A/17</v>
          </cell>
          <cell r="E213" t="str">
            <v>NITRATO DE POTASIO CRISTALIZADO</v>
          </cell>
          <cell r="F213" t="str">
            <v>KEYTRADE</v>
          </cell>
          <cell r="P213">
            <v>100</v>
          </cell>
          <cell r="R213" t="str">
            <v>CPT</v>
          </cell>
          <cell r="S213">
            <v>836</v>
          </cell>
          <cell r="Y213">
            <v>43177</v>
          </cell>
          <cell r="AF213" t="str">
            <v>CALLAO</v>
          </cell>
        </row>
        <row r="214">
          <cell r="C214" t="str">
            <v>MF-092B/17</v>
          </cell>
          <cell r="E214" t="str">
            <v>NITRATO DE POTASIO CRISTALIZADO</v>
          </cell>
          <cell r="F214" t="str">
            <v>KEYTRADE</v>
          </cell>
          <cell r="P214">
            <v>100</v>
          </cell>
          <cell r="R214" t="str">
            <v>CPT</v>
          </cell>
          <cell r="S214">
            <v>841</v>
          </cell>
          <cell r="Y214">
            <v>43180</v>
          </cell>
          <cell r="AF214" t="str">
            <v>PAITA</v>
          </cell>
        </row>
        <row r="215">
          <cell r="C215" t="str">
            <v>MF-093A/17</v>
          </cell>
          <cell r="E215" t="str">
            <v>NITRATO DE POTASIO CRISTALIZADO</v>
          </cell>
          <cell r="F215" t="str">
            <v>KEYTRADE</v>
          </cell>
          <cell r="P215">
            <v>100</v>
          </cell>
          <cell r="R215" t="str">
            <v>CPT</v>
          </cell>
          <cell r="S215">
            <v>849</v>
          </cell>
          <cell r="Y215">
            <v>43191</v>
          </cell>
          <cell r="AF215" t="str">
            <v>CALLAO</v>
          </cell>
        </row>
        <row r="216">
          <cell r="C216" t="str">
            <v>MF-093B/17</v>
          </cell>
          <cell r="E216" t="str">
            <v>NITRATO DE POTASIO CRISTALIZADO</v>
          </cell>
          <cell r="F216" t="str">
            <v>KEYTRADE</v>
          </cell>
          <cell r="P216">
            <v>100</v>
          </cell>
          <cell r="R216" t="str">
            <v>CPT</v>
          </cell>
          <cell r="S216">
            <v>854</v>
          </cell>
          <cell r="Y216">
            <v>43201</v>
          </cell>
          <cell r="AF216" t="str">
            <v>PAITA</v>
          </cell>
        </row>
        <row r="217">
          <cell r="C217" t="str">
            <v>MF-094A/17</v>
          </cell>
          <cell r="E217" t="str">
            <v>NITRATO DE POTASIO CRISTALIZADO</v>
          </cell>
          <cell r="F217" t="str">
            <v>KEYTRADE</v>
          </cell>
          <cell r="P217">
            <v>100</v>
          </cell>
          <cell r="R217" t="str">
            <v>CPT</v>
          </cell>
          <cell r="S217">
            <v>849</v>
          </cell>
          <cell r="Y217">
            <v>43191</v>
          </cell>
          <cell r="AF217" t="str">
            <v>CALLAO</v>
          </cell>
        </row>
        <row r="218">
          <cell r="C218" t="str">
            <v>MF-094B/17</v>
          </cell>
          <cell r="E218" t="str">
            <v>NITRATO DE POTASIO CRISTALIZADO</v>
          </cell>
          <cell r="F218" t="str">
            <v>KEYTRADE</v>
          </cell>
          <cell r="P218">
            <v>100</v>
          </cell>
          <cell r="R218" t="str">
            <v>CPT</v>
          </cell>
          <cell r="S218">
            <v>854</v>
          </cell>
          <cell r="Y218">
            <v>43194</v>
          </cell>
          <cell r="AF218" t="str">
            <v>PAITA</v>
          </cell>
        </row>
        <row r="219">
          <cell r="C219" t="str">
            <v>MF-095A1/17</v>
          </cell>
          <cell r="E219" t="str">
            <v>SULFATO DE AMONIO MARRÓN ESTÁNDAR</v>
          </cell>
          <cell r="F219" t="str">
            <v>NITRON GROUP CORPORATION</v>
          </cell>
          <cell r="P219">
            <v>3500</v>
          </cell>
          <cell r="R219" t="str">
            <v>CFR</v>
          </cell>
          <cell r="S219">
            <v>150</v>
          </cell>
          <cell r="Y219">
            <v>43215</v>
          </cell>
          <cell r="AF219" t="str">
            <v>PAITA</v>
          </cell>
        </row>
        <row r="220">
          <cell r="C220" t="str">
            <v>MF-095A2/17</v>
          </cell>
          <cell r="E220" t="str">
            <v>SULFATO DE AMONIO MARRÓN ESTÁNDAR</v>
          </cell>
          <cell r="F220" t="str">
            <v>NITRON GROUP CORPORATION</v>
          </cell>
          <cell r="P220">
            <v>2500</v>
          </cell>
          <cell r="R220" t="str">
            <v>CFR</v>
          </cell>
          <cell r="S220">
            <v>150</v>
          </cell>
          <cell r="Y220">
            <v>43218</v>
          </cell>
          <cell r="AF220" t="str">
            <v>SALAVERRY</v>
          </cell>
        </row>
        <row r="221">
          <cell r="C221" t="str">
            <v>MF-095B1/17</v>
          </cell>
          <cell r="E221" t="str">
            <v>SULFATO DE AMONIO BEIGE ESTÁNDAR</v>
          </cell>
          <cell r="F221" t="str">
            <v>NITRON GROUP CORPORATION</v>
          </cell>
          <cell r="P221">
            <v>1500</v>
          </cell>
          <cell r="R221" t="str">
            <v>CFR</v>
          </cell>
          <cell r="S221">
            <v>147</v>
          </cell>
          <cell r="Y221">
            <v>43215</v>
          </cell>
          <cell r="AF221" t="str">
            <v>PAITA</v>
          </cell>
        </row>
        <row r="222">
          <cell r="C222" t="str">
            <v>MF-095B2/17</v>
          </cell>
          <cell r="E222" t="str">
            <v>SULFATO DE AMONIO BEIGE ESTÁNDAR</v>
          </cell>
          <cell r="F222" t="str">
            <v>NITRON GROUP CORPORATION</v>
          </cell>
          <cell r="P222">
            <v>2500</v>
          </cell>
          <cell r="R222" t="str">
            <v>CFR</v>
          </cell>
          <cell r="S222">
            <v>147</v>
          </cell>
          <cell r="Y222">
            <v>43218</v>
          </cell>
          <cell r="AF222" t="str">
            <v>SALAVERRY</v>
          </cell>
        </row>
        <row r="223">
          <cell r="C223" t="str">
            <v>MF-096/17</v>
          </cell>
          <cell r="E223" t="str">
            <v>NITRATO DE MAGNESIO HEXAHIDRATADO</v>
          </cell>
          <cell r="F223" t="str">
            <v>NEW CHINA CHEMICALS CO., LTD.</v>
          </cell>
          <cell r="P223">
            <v>200</v>
          </cell>
          <cell r="R223" t="str">
            <v>CIF</v>
          </cell>
          <cell r="S223">
            <v>310</v>
          </cell>
          <cell r="Y223">
            <v>43192</v>
          </cell>
          <cell r="AF223" t="str">
            <v>PAITA</v>
          </cell>
        </row>
        <row r="224">
          <cell r="C224" t="str">
            <v>MF-097A/17</v>
          </cell>
          <cell r="E224" t="str">
            <v>NITRATO DE POTASIO CRISTALIZADO</v>
          </cell>
          <cell r="F224" t="str">
            <v>KEYTRADE</v>
          </cell>
          <cell r="P224">
            <v>159</v>
          </cell>
          <cell r="R224" t="str">
            <v>CFR</v>
          </cell>
          <cell r="S224">
            <v>825</v>
          </cell>
          <cell r="Y224">
            <v>43210</v>
          </cell>
          <cell r="AF224" t="str">
            <v>CALLAO</v>
          </cell>
        </row>
        <row r="225">
          <cell r="C225" t="str">
            <v>MF-097B/17</v>
          </cell>
          <cell r="E225" t="str">
            <v>NITRATO DE POTASIO CRISTALIZADO</v>
          </cell>
          <cell r="F225" t="str">
            <v>KEYTRADE</v>
          </cell>
          <cell r="P225">
            <v>159</v>
          </cell>
          <cell r="R225" t="str">
            <v>CPT</v>
          </cell>
          <cell r="S225">
            <v>830</v>
          </cell>
          <cell r="Y225">
            <v>43201</v>
          </cell>
          <cell r="AF225" t="str">
            <v>PAITA</v>
          </cell>
        </row>
        <row r="226">
          <cell r="C226" t="str">
            <v>MF-098A/17</v>
          </cell>
          <cell r="E226" t="str">
            <v>SULFATO DE ZINC HEPTAHIDRATADO</v>
          </cell>
          <cell r="F226" t="str">
            <v>NUTRICHEM PROCESSING LLP</v>
          </cell>
          <cell r="P226">
            <v>216</v>
          </cell>
          <cell r="R226" t="str">
            <v>CFR</v>
          </cell>
          <cell r="S226">
            <v>795</v>
          </cell>
          <cell r="Y226">
            <v>43237</v>
          </cell>
          <cell r="AF226" t="str">
            <v>CALLAO</v>
          </cell>
        </row>
        <row r="227">
          <cell r="C227" t="str">
            <v>MF-098B/17</v>
          </cell>
          <cell r="E227" t="str">
            <v>SULFATO DE ZINC HEPTAHIDRATADO</v>
          </cell>
          <cell r="F227" t="str">
            <v>NUTRICHEM PROCESSING LLP</v>
          </cell>
          <cell r="P227">
            <v>216</v>
          </cell>
          <cell r="R227" t="str">
            <v>CFR</v>
          </cell>
          <cell r="S227">
            <v>795</v>
          </cell>
          <cell r="Y227">
            <v>43234</v>
          </cell>
          <cell r="AF227" t="str">
            <v>PAITA</v>
          </cell>
        </row>
        <row r="228">
          <cell r="C228" t="str">
            <v>MF-099/17</v>
          </cell>
          <cell r="E228" t="str">
            <v>SULFATO DE POTASIO GRANULAR</v>
          </cell>
          <cell r="F228" t="str">
            <v xml:space="preserve">K+S KALI GMBH </v>
          </cell>
          <cell r="P228">
            <v>504.14</v>
          </cell>
          <cell r="R228" t="str">
            <v>CPT</v>
          </cell>
          <cell r="S228">
            <v>510</v>
          </cell>
          <cell r="Y228">
            <v>43157</v>
          </cell>
          <cell r="AF228" t="str">
            <v>PAITA</v>
          </cell>
        </row>
        <row r="229">
          <cell r="C229" t="str">
            <v>MF-100/17</v>
          </cell>
          <cell r="E229" t="str">
            <v>FOSFATO MONOAMÓNICO CRISTALIZADO</v>
          </cell>
          <cell r="F229" t="str">
            <v>MANUCHAR NV</v>
          </cell>
          <cell r="P229">
            <v>100</v>
          </cell>
          <cell r="R229" t="str">
            <v>CFR</v>
          </cell>
          <cell r="S229">
            <v>627</v>
          </cell>
          <cell r="Y229">
            <v>43229</v>
          </cell>
          <cell r="AF229" t="str">
            <v>CALLAO</v>
          </cell>
        </row>
        <row r="230">
          <cell r="C230" t="str">
            <v>MF-101A/17</v>
          </cell>
          <cell r="E230" t="str">
            <v>NITRATO DE AMONIO</v>
          </cell>
          <cell r="F230" t="str">
            <v>GAVILON</v>
          </cell>
          <cell r="P230">
            <v>200</v>
          </cell>
          <cell r="R230" t="str">
            <v>CFR</v>
          </cell>
          <cell r="S230">
            <v>276</v>
          </cell>
          <cell r="Y230">
            <v>43151</v>
          </cell>
          <cell r="AF230" t="str">
            <v>PAITA</v>
          </cell>
        </row>
        <row r="231">
          <cell r="C231" t="str">
            <v>MF-101B/17</v>
          </cell>
          <cell r="E231" t="str">
            <v>NITRATO DE AMONIO</v>
          </cell>
          <cell r="F231" t="str">
            <v>GAVILON</v>
          </cell>
          <cell r="P231">
            <v>1300</v>
          </cell>
          <cell r="R231" t="str">
            <v>CFR</v>
          </cell>
          <cell r="S231">
            <v>276</v>
          </cell>
          <cell r="Y231">
            <v>43153</v>
          </cell>
          <cell r="AF231" t="str">
            <v>SALAVERRY</v>
          </cell>
        </row>
        <row r="232">
          <cell r="C232" t="str">
            <v>MF-101C/17</v>
          </cell>
          <cell r="E232" t="str">
            <v>NITRATO DE AMONIO</v>
          </cell>
          <cell r="F232" t="str">
            <v>GAVILON</v>
          </cell>
          <cell r="P232">
            <v>500</v>
          </cell>
          <cell r="R232" t="str">
            <v>CFR</v>
          </cell>
          <cell r="S232">
            <v>276</v>
          </cell>
          <cell r="Y232">
            <v>43155</v>
          </cell>
          <cell r="AF232" t="str">
            <v>CALLAO</v>
          </cell>
        </row>
        <row r="233">
          <cell r="C233" t="str">
            <v>MF-102/17</v>
          </cell>
          <cell r="E233" t="str">
            <v xml:space="preserve">SULFATO DE MAGNESIO HEPTAHIDRATADO </v>
          </cell>
          <cell r="F233" t="str">
            <v>STAR GRACE MINING CO.,LTD</v>
          </cell>
          <cell r="P233">
            <v>900</v>
          </cell>
          <cell r="R233" t="str">
            <v>CFR</v>
          </cell>
          <cell r="S233">
            <v>141</v>
          </cell>
          <cell r="Y233">
            <v>43258</v>
          </cell>
          <cell r="AF233" t="str">
            <v>CALLAO</v>
          </cell>
        </row>
        <row r="234">
          <cell r="C234" t="str">
            <v>MF-001/18</v>
          </cell>
          <cell r="E234" t="str">
            <v>FOSFATO MONOAMÓNICO CRISTALIZADO</v>
          </cell>
          <cell r="F234" t="str">
            <v>MITSUI &amp; CO., Ltda</v>
          </cell>
          <cell r="P234">
            <v>0</v>
          </cell>
          <cell r="R234">
            <v>0</v>
          </cell>
          <cell r="S234">
            <v>0</v>
          </cell>
          <cell r="Y234">
            <v>0</v>
          </cell>
          <cell r="AF234">
            <v>0</v>
          </cell>
        </row>
        <row r="235">
          <cell r="C235" t="str">
            <v>MF-002/18</v>
          </cell>
          <cell r="E235" t="str">
            <v>SULFATO DE POTASIO SOLUBLE</v>
          </cell>
          <cell r="F235" t="str">
            <v xml:space="preserve">HELIOPOTASSE SA  </v>
          </cell>
          <cell r="P235">
            <v>150</v>
          </cell>
          <cell r="R235" t="str">
            <v>CIF</v>
          </cell>
          <cell r="S235">
            <v>526</v>
          </cell>
          <cell r="Y235">
            <v>43201</v>
          </cell>
          <cell r="AF235" t="str">
            <v>MATARANI</v>
          </cell>
        </row>
        <row r="236">
          <cell r="C236" t="str">
            <v>MF-003/18</v>
          </cell>
          <cell r="E236" t="str">
            <v>SULFATO DE POTASIO GRANULAR</v>
          </cell>
          <cell r="F236" t="str">
            <v xml:space="preserve">HELIOPOTASSE SA  </v>
          </cell>
          <cell r="P236">
            <v>504</v>
          </cell>
          <cell r="R236" t="str">
            <v>CIF</v>
          </cell>
          <cell r="S236">
            <v>501</v>
          </cell>
          <cell r="Y236">
            <v>43194</v>
          </cell>
          <cell r="AF236" t="str">
            <v>CALLAO</v>
          </cell>
        </row>
        <row r="237">
          <cell r="C237" t="str">
            <v>MF-004A/18</v>
          </cell>
          <cell r="E237" t="str">
            <v>NITRATO DE CALCIO PREMIUM</v>
          </cell>
          <cell r="F237" t="str">
            <v>URALCHEM</v>
          </cell>
          <cell r="P237">
            <v>240</v>
          </cell>
          <cell r="R237" t="str">
            <v>CFR</v>
          </cell>
          <cell r="S237">
            <v>315</v>
          </cell>
          <cell r="Y237">
            <v>43266</v>
          </cell>
          <cell r="AF237" t="str">
            <v>CALLAO</v>
          </cell>
        </row>
        <row r="238">
          <cell r="C238" t="str">
            <v>MF-004B/18</v>
          </cell>
          <cell r="E238" t="str">
            <v>NITRATO DE CALCIO PREMIUM</v>
          </cell>
          <cell r="F238" t="str">
            <v>URALCHEM</v>
          </cell>
          <cell r="P238">
            <v>240</v>
          </cell>
          <cell r="R238" t="str">
            <v>CFR</v>
          </cell>
          <cell r="S238">
            <v>320</v>
          </cell>
          <cell r="Y238">
            <v>43269</v>
          </cell>
          <cell r="AF238" t="str">
            <v>PAITA</v>
          </cell>
        </row>
        <row r="239">
          <cell r="C239" t="str">
            <v>MF-005A/18</v>
          </cell>
          <cell r="E239" t="str">
            <v>SULFATO DE POTASIO GRANULAR</v>
          </cell>
          <cell r="F239" t="str">
            <v xml:space="preserve">HELIOPOTASSE SA  </v>
          </cell>
          <cell r="P239">
            <v>192</v>
          </cell>
          <cell r="R239" t="str">
            <v>CIF</v>
          </cell>
          <cell r="S239">
            <v>498</v>
          </cell>
          <cell r="Y239">
            <v>43231</v>
          </cell>
          <cell r="AF239" t="str">
            <v>CALLAO</v>
          </cell>
        </row>
        <row r="240">
          <cell r="C240" t="str">
            <v>MF-005B/18</v>
          </cell>
          <cell r="E240" t="str">
            <v>SULFATO DE POTASIO GRANULAR</v>
          </cell>
          <cell r="F240" t="str">
            <v xml:space="preserve">HELIOPOTASSE SA  </v>
          </cell>
          <cell r="P240">
            <v>408</v>
          </cell>
          <cell r="R240" t="str">
            <v>CIF</v>
          </cell>
          <cell r="S240">
            <v>508</v>
          </cell>
          <cell r="Y240">
            <v>43243</v>
          </cell>
          <cell r="AF240" t="str">
            <v>PAITA</v>
          </cell>
        </row>
        <row r="241">
          <cell r="C241" t="str">
            <v>MF-006A/18</v>
          </cell>
          <cell r="E241" t="str">
            <v>NITRATO DE CALCIO PREMIUM</v>
          </cell>
          <cell r="F241" t="str">
            <v>URALCHEM</v>
          </cell>
          <cell r="P241">
            <v>312</v>
          </cell>
          <cell r="R241" t="str">
            <v>CFR</v>
          </cell>
          <cell r="S241">
            <v>315</v>
          </cell>
          <cell r="Y241">
            <v>43266</v>
          </cell>
          <cell r="AF241" t="str">
            <v>CALLAO</v>
          </cell>
        </row>
        <row r="242">
          <cell r="C242" t="str">
            <v>MF-006B/18</v>
          </cell>
          <cell r="E242" t="str">
            <v>NITRATO DE CALCIO PREMIUM</v>
          </cell>
          <cell r="F242" t="str">
            <v>URALCHEM</v>
          </cell>
          <cell r="P242">
            <v>312</v>
          </cell>
          <cell r="R242" t="str">
            <v>CFR</v>
          </cell>
          <cell r="S242">
            <v>320</v>
          </cell>
          <cell r="Y242">
            <v>43269</v>
          </cell>
          <cell r="AF242" t="str">
            <v>PAITA</v>
          </cell>
        </row>
        <row r="243">
          <cell r="C243" t="str">
            <v>MF-007A/18</v>
          </cell>
          <cell r="E243" t="str">
            <v>NITRATO DE CALCIO PREMIUM</v>
          </cell>
          <cell r="F243" t="str">
            <v>URALCHEM</v>
          </cell>
          <cell r="P243">
            <v>336</v>
          </cell>
          <cell r="R243" t="str">
            <v>CFR</v>
          </cell>
          <cell r="S243">
            <v>315</v>
          </cell>
          <cell r="Y243">
            <v>43322</v>
          </cell>
          <cell r="AF243" t="str">
            <v>CALLAO</v>
          </cell>
        </row>
        <row r="244">
          <cell r="C244" t="str">
            <v>MF-007B/18</v>
          </cell>
          <cell r="E244" t="str">
            <v>NITRATO DE CALCIO PREMIUM</v>
          </cell>
          <cell r="F244" t="str">
            <v>URALCHEM</v>
          </cell>
          <cell r="P244">
            <v>312</v>
          </cell>
          <cell r="R244" t="str">
            <v>CFR</v>
          </cell>
          <cell r="S244">
            <v>320</v>
          </cell>
          <cell r="Y244">
            <v>43325</v>
          </cell>
          <cell r="AF244" t="str">
            <v>PAITA</v>
          </cell>
        </row>
        <row r="245">
          <cell r="C245" t="str">
            <v>MF-008A/18</v>
          </cell>
          <cell r="E245" t="str">
            <v>FOSFATO MONOAMÓNICO CRISTALIZADO</v>
          </cell>
          <cell r="F245" t="str">
            <v>NITRON GROUP CORPORATION</v>
          </cell>
          <cell r="P245">
            <v>200</v>
          </cell>
          <cell r="R245" t="str">
            <v>CFR</v>
          </cell>
          <cell r="S245">
            <v>673</v>
          </cell>
          <cell r="Y245">
            <v>43243</v>
          </cell>
          <cell r="AF245" t="str">
            <v>CALLAO</v>
          </cell>
        </row>
        <row r="246">
          <cell r="C246" t="str">
            <v>MF-008B/18</v>
          </cell>
          <cell r="E246" t="str">
            <v>FOSFATO MONOAMÓNICO CRISTALIZADO</v>
          </cell>
          <cell r="F246" t="str">
            <v>NITRON GROUP CORPORATION</v>
          </cell>
          <cell r="P246">
            <v>200</v>
          </cell>
          <cell r="R246" t="str">
            <v>CFR</v>
          </cell>
          <cell r="S246">
            <v>676</v>
          </cell>
          <cell r="Y246">
            <v>43241</v>
          </cell>
          <cell r="AF246" t="str">
            <v>PAITA</v>
          </cell>
        </row>
        <row r="247">
          <cell r="C247" t="str">
            <v>MF-009A/18</v>
          </cell>
          <cell r="E247" t="str">
            <v>FOSFATO MONOAMÓNICO CRISTALIZADO</v>
          </cell>
          <cell r="F247" t="str">
            <v>NITRON GROUP CORPORATION</v>
          </cell>
          <cell r="P247">
            <v>0</v>
          </cell>
          <cell r="R247">
            <v>0</v>
          </cell>
          <cell r="S247">
            <v>0</v>
          </cell>
          <cell r="Y247">
            <v>0</v>
          </cell>
          <cell r="AF247">
            <v>0</v>
          </cell>
        </row>
        <row r="248">
          <cell r="C248" t="str">
            <v>MF-009B/18</v>
          </cell>
          <cell r="E248" t="str">
            <v>FOSFATO MONOAMÓNICO CRISTALIZADO</v>
          </cell>
          <cell r="F248" t="str">
            <v>NITRON GROUP CORPORATION</v>
          </cell>
          <cell r="P248">
            <v>0</v>
          </cell>
          <cell r="R248">
            <v>0</v>
          </cell>
          <cell r="S248">
            <v>0</v>
          </cell>
          <cell r="Y248">
            <v>0</v>
          </cell>
          <cell r="AF248">
            <v>0</v>
          </cell>
        </row>
        <row r="249">
          <cell r="C249" t="str">
            <v>MF-010/18</v>
          </cell>
          <cell r="E249" t="str">
            <v>NITRATO DE CALCIO PREMIUM</v>
          </cell>
          <cell r="F249" t="str">
            <v>URALCHEM</v>
          </cell>
          <cell r="P249">
            <v>144</v>
          </cell>
          <cell r="R249" t="str">
            <v>CFR</v>
          </cell>
          <cell r="S249">
            <v>325</v>
          </cell>
          <cell r="Y249">
            <v>43296</v>
          </cell>
          <cell r="AF249" t="str">
            <v>MATARANI</v>
          </cell>
        </row>
        <row r="250">
          <cell r="C250" t="str">
            <v>MF-011A/18</v>
          </cell>
          <cell r="E250" t="str">
            <v>MICROELEMENTO SFERA STI (BIG BAG)</v>
          </cell>
          <cell r="F250" t="str">
            <v>MANTTRA AMERICAS</v>
          </cell>
          <cell r="P250">
            <v>1</v>
          </cell>
          <cell r="R250" t="str">
            <v>CFR</v>
          </cell>
          <cell r="S250">
            <v>378</v>
          </cell>
          <cell r="Y250">
            <v>43187</v>
          </cell>
          <cell r="AF250" t="str">
            <v>CALLAO</v>
          </cell>
        </row>
        <row r="251">
          <cell r="C251" t="str">
            <v>MF-011B/18</v>
          </cell>
          <cell r="E251" t="str">
            <v>MICROELEMENTO SFERA Z20 X 20KG</v>
          </cell>
          <cell r="F251" t="str">
            <v>MANTTRA AMERICAS</v>
          </cell>
          <cell r="P251">
            <v>1</v>
          </cell>
          <cell r="R251" t="str">
            <v>CFR</v>
          </cell>
          <cell r="S251">
            <v>600</v>
          </cell>
          <cell r="Y251">
            <v>43187</v>
          </cell>
          <cell r="AF251" t="str">
            <v>CALLAO</v>
          </cell>
        </row>
        <row r="252">
          <cell r="C252" t="str">
            <v>MF-011C/18</v>
          </cell>
          <cell r="E252" t="str">
            <v>MICROELEMENTO SFERA 1 A GRANEL</v>
          </cell>
          <cell r="F252" t="str">
            <v>MANTTRA AMERICAS</v>
          </cell>
          <cell r="P252">
            <v>50</v>
          </cell>
          <cell r="R252" t="str">
            <v>CFR</v>
          </cell>
          <cell r="S252">
            <v>330</v>
          </cell>
          <cell r="Y252">
            <v>43187</v>
          </cell>
          <cell r="AF252" t="str">
            <v>CALLAO</v>
          </cell>
        </row>
        <row r="253">
          <cell r="C253" t="str">
            <v>MF-012/18</v>
          </cell>
          <cell r="E253" t="str">
            <v>NITRATO DE POTASIO CRISTALIZADO</v>
          </cell>
          <cell r="F253" t="str">
            <v>TOYOTA TSUSHO CORPORATION</v>
          </cell>
          <cell r="P253">
            <v>48</v>
          </cell>
          <cell r="R253" t="str">
            <v>CFR</v>
          </cell>
          <cell r="S253">
            <v>820</v>
          </cell>
          <cell r="Y253">
            <v>43226</v>
          </cell>
          <cell r="AF253" t="str">
            <v>CALLAO</v>
          </cell>
        </row>
        <row r="254">
          <cell r="C254" t="str">
            <v>MF-013A/18</v>
          </cell>
          <cell r="E254" t="str">
            <v>SULFATO DE MAGNESIO MONOHIDRATADO GRANULAR (KIESERITA)</v>
          </cell>
          <cell r="F254" t="str">
            <v>KEYTRADE</v>
          </cell>
          <cell r="P254">
            <v>1540.5</v>
          </cell>
          <cell r="R254" t="str">
            <v>CPT</v>
          </cell>
          <cell r="S254">
            <v>158</v>
          </cell>
          <cell r="Y254">
            <v>43226</v>
          </cell>
          <cell r="AF254" t="str">
            <v>CALLAO</v>
          </cell>
        </row>
        <row r="255">
          <cell r="C255" t="str">
            <v>MF-013B.1/18</v>
          </cell>
          <cell r="E255" t="str">
            <v>SULFATO DE MAGNESIO MONOHIDRATADO GRANULAR (KIESERITA)</v>
          </cell>
          <cell r="F255" t="str">
            <v>KEYTRADE</v>
          </cell>
          <cell r="P255">
            <v>1300</v>
          </cell>
          <cell r="R255" t="str">
            <v>CPT</v>
          </cell>
          <cell r="S255">
            <v>168</v>
          </cell>
          <cell r="Y255">
            <v>43229</v>
          </cell>
          <cell r="AF255" t="str">
            <v>PAITA</v>
          </cell>
        </row>
        <row r="256">
          <cell r="C256" t="str">
            <v>MF-013B.2/18</v>
          </cell>
          <cell r="E256" t="str">
            <v>SULFATO DE MAGNESIO MONOHIDRATADO GRANULAR (KIESERITA)</v>
          </cell>
          <cell r="F256" t="str">
            <v>KEYTRADE</v>
          </cell>
          <cell r="P256">
            <v>520</v>
          </cell>
          <cell r="R256" t="str">
            <v>CPT</v>
          </cell>
          <cell r="S256">
            <v>168</v>
          </cell>
          <cell r="Y256">
            <v>43229</v>
          </cell>
          <cell r="AF256" t="str">
            <v>PAITA</v>
          </cell>
        </row>
        <row r="257">
          <cell r="C257" t="str">
            <v>MF-013B.3/18</v>
          </cell>
          <cell r="E257" t="str">
            <v>SULFATO DE MAGNESIO MONOHIDRATADO GRANULAR (KIESERITA)</v>
          </cell>
          <cell r="F257" t="str">
            <v>KEYTRADE</v>
          </cell>
          <cell r="P257">
            <v>52</v>
          </cell>
          <cell r="R257" t="str">
            <v>CPT</v>
          </cell>
          <cell r="S257">
            <v>168</v>
          </cell>
          <cell r="Y257">
            <v>43234</v>
          </cell>
          <cell r="AF257" t="str">
            <v>PAITA</v>
          </cell>
        </row>
        <row r="258">
          <cell r="C258" t="str">
            <v>MF-013B.4/18</v>
          </cell>
          <cell r="E258" t="str">
            <v>SULFATO DE MAGNESIO MONOHIDRATADO GRANULAR (KIESERITA)</v>
          </cell>
          <cell r="F258" t="str">
            <v>KEYTRADE</v>
          </cell>
          <cell r="P258">
            <v>650</v>
          </cell>
          <cell r="R258" t="str">
            <v>CPT</v>
          </cell>
          <cell r="S258">
            <v>168</v>
          </cell>
          <cell r="Y258">
            <v>43234</v>
          </cell>
          <cell r="AF258" t="str">
            <v>PAITA</v>
          </cell>
        </row>
        <row r="259">
          <cell r="C259" t="str">
            <v>MF-014A/18</v>
          </cell>
          <cell r="E259" t="str">
            <v>SULFATO DE POTASIO SOLUBLE</v>
          </cell>
          <cell r="F259" t="str">
            <v>TESSENDERLO</v>
          </cell>
          <cell r="P259">
            <v>162</v>
          </cell>
          <cell r="R259" t="str">
            <v>CFR</v>
          </cell>
          <cell r="S259">
            <v>532</v>
          </cell>
          <cell r="Y259">
            <v>43216</v>
          </cell>
          <cell r="AF259" t="str">
            <v>CALLAO</v>
          </cell>
        </row>
        <row r="260">
          <cell r="C260" t="str">
            <v>MF-014B/18</v>
          </cell>
          <cell r="E260" t="str">
            <v>SULFATO DE POTASIO SOLUBLE</v>
          </cell>
          <cell r="F260" t="str">
            <v>TESSENDERLO</v>
          </cell>
          <cell r="P260">
            <v>351</v>
          </cell>
          <cell r="R260" t="str">
            <v>CFR</v>
          </cell>
          <cell r="S260">
            <v>537</v>
          </cell>
          <cell r="Y260">
            <v>43248</v>
          </cell>
          <cell r="AF260" t="str">
            <v>PAITA</v>
          </cell>
        </row>
        <row r="261">
          <cell r="C261" t="str">
            <v>MF-015/18</v>
          </cell>
          <cell r="E261" t="str">
            <v>FOSFATO MONOAMÓNICO CRISTALIZADO</v>
          </cell>
          <cell r="F261" t="str">
            <v>NITRON GROUP CORPORATION</v>
          </cell>
          <cell r="P261">
            <v>100</v>
          </cell>
          <cell r="R261" t="str">
            <v>CFR</v>
          </cell>
          <cell r="S261">
            <v>687</v>
          </cell>
          <cell r="Y261">
            <v>43257</v>
          </cell>
          <cell r="AF261" t="str">
            <v>MATARANI</v>
          </cell>
        </row>
        <row r="262">
          <cell r="C262" t="str">
            <v>MF-016A/18</v>
          </cell>
          <cell r="E262" t="str">
            <v>NITRATO DE POTASIO CRISTALIZADO</v>
          </cell>
          <cell r="F262" t="str">
            <v xml:space="preserve">K+S KALI GMBH </v>
          </cell>
          <cell r="P262">
            <v>240</v>
          </cell>
          <cell r="R262" t="str">
            <v>CPT</v>
          </cell>
          <cell r="S262">
            <v>815</v>
          </cell>
          <cell r="Y262">
            <v>43211</v>
          </cell>
          <cell r="AF262" t="str">
            <v>CALLAO</v>
          </cell>
        </row>
        <row r="263">
          <cell r="C263" t="str">
            <v>MF-016B/18</v>
          </cell>
          <cell r="E263" t="str">
            <v>NITRATO DE POTASIO CRISTALIZADO</v>
          </cell>
          <cell r="F263" t="str">
            <v xml:space="preserve">K+S KALI GMBH </v>
          </cell>
          <cell r="P263">
            <v>240</v>
          </cell>
          <cell r="R263" t="str">
            <v>CPT</v>
          </cell>
          <cell r="S263">
            <v>820</v>
          </cell>
          <cell r="Y263">
            <v>43248</v>
          </cell>
          <cell r="AF263" t="str">
            <v>PAITA</v>
          </cell>
        </row>
        <row r="264">
          <cell r="C264" t="str">
            <v>MF-017A/18</v>
          </cell>
          <cell r="E264" t="str">
            <v>SULFATO DE POTASIO SOLUBLE</v>
          </cell>
          <cell r="F264" t="str">
            <v>KEYTRADE</v>
          </cell>
          <cell r="P264">
            <v>675</v>
          </cell>
          <cell r="R264" t="str">
            <v>CPT</v>
          </cell>
          <cell r="S264">
            <v>513</v>
          </cell>
          <cell r="Y264">
            <v>43280</v>
          </cell>
          <cell r="AF264" t="str">
            <v>CALLAO</v>
          </cell>
        </row>
        <row r="265">
          <cell r="C265" t="str">
            <v>MF-017B/18</v>
          </cell>
          <cell r="E265" t="str">
            <v>SULFATO DE POTASIO SOLUBLE</v>
          </cell>
          <cell r="F265" t="str">
            <v>KEYTRADE</v>
          </cell>
          <cell r="P265">
            <v>400</v>
          </cell>
          <cell r="R265" t="str">
            <v>CPT</v>
          </cell>
          <cell r="S265">
            <v>518</v>
          </cell>
          <cell r="Y265">
            <v>43271</v>
          </cell>
          <cell r="AF265" t="str">
            <v>PAITA</v>
          </cell>
        </row>
        <row r="266">
          <cell r="C266" t="str">
            <v>MF-018/18</v>
          </cell>
          <cell r="E266" t="str">
            <v>UREA GRANULADA</v>
          </cell>
          <cell r="F266" t="str">
            <v>CERES PERÚ</v>
          </cell>
          <cell r="P266">
            <v>300</v>
          </cell>
          <cell r="R266" t="str">
            <v>CFR</v>
          </cell>
          <cell r="S266">
            <v>287</v>
          </cell>
          <cell r="Y266">
            <v>43170</v>
          </cell>
          <cell r="AF266" t="str">
            <v>SALAVERRY</v>
          </cell>
        </row>
        <row r="267">
          <cell r="C267" t="str">
            <v>MF-019/18</v>
          </cell>
          <cell r="E267" t="str">
            <v xml:space="preserve">SULFATO DE MAGNESIO HEPTAHIDRATADO </v>
          </cell>
          <cell r="F267" t="str">
            <v>STAR GRACE MINING CO.,LTD</v>
          </cell>
          <cell r="P267">
            <v>594</v>
          </cell>
          <cell r="R267" t="str">
            <v>CFR</v>
          </cell>
          <cell r="S267">
            <v>152</v>
          </cell>
          <cell r="Y267">
            <v>43248</v>
          </cell>
          <cell r="AF267" t="str">
            <v>PAITA</v>
          </cell>
        </row>
        <row r="268">
          <cell r="C268" t="str">
            <v>MF-020/18</v>
          </cell>
          <cell r="E268" t="str">
            <v>SULFATO DE POTASIO GRANULAR</v>
          </cell>
          <cell r="F268" t="str">
            <v xml:space="preserve">HELIOPOTASSE SA  </v>
          </cell>
          <cell r="P268">
            <v>216</v>
          </cell>
          <cell r="R268" t="str">
            <v>CIF</v>
          </cell>
          <cell r="S268">
            <v>498</v>
          </cell>
          <cell r="Y268">
            <v>43267</v>
          </cell>
          <cell r="AF268" t="str">
            <v>CALLAO</v>
          </cell>
        </row>
        <row r="269">
          <cell r="C269" t="str">
            <v>MF-021A/18</v>
          </cell>
          <cell r="E269" t="str">
            <v>UREA GRANULADA</v>
          </cell>
          <cell r="F269" t="str">
            <v>AMEROPA</v>
          </cell>
          <cell r="P269">
            <v>2150</v>
          </cell>
          <cell r="R269" t="str">
            <v>CFR</v>
          </cell>
          <cell r="S269">
            <v>280.7</v>
          </cell>
          <cell r="Y269">
            <v>43244</v>
          </cell>
          <cell r="AF269" t="str">
            <v>PAITA</v>
          </cell>
        </row>
        <row r="270">
          <cell r="C270" t="str">
            <v>MF-021B/18</v>
          </cell>
          <cell r="E270" t="str">
            <v>UREA GRANULADA</v>
          </cell>
          <cell r="F270" t="str">
            <v>AMEROPA</v>
          </cell>
          <cell r="P270">
            <v>1950</v>
          </cell>
          <cell r="R270" t="str">
            <v>CFR</v>
          </cell>
          <cell r="S270">
            <v>280.7</v>
          </cell>
          <cell r="Y270">
            <v>43247</v>
          </cell>
          <cell r="AF270" t="str">
            <v>SALAVERRY</v>
          </cell>
        </row>
        <row r="271">
          <cell r="C271" t="str">
            <v>MF-021C/18</v>
          </cell>
          <cell r="E271" t="str">
            <v>UREA GRANULADA</v>
          </cell>
          <cell r="F271" t="str">
            <v>AMEROPA</v>
          </cell>
          <cell r="P271">
            <v>800</v>
          </cell>
          <cell r="R271" t="str">
            <v>CFR</v>
          </cell>
          <cell r="S271">
            <v>280.7</v>
          </cell>
          <cell r="Y271">
            <v>43255</v>
          </cell>
          <cell r="AF271" t="str">
            <v>CALLAO</v>
          </cell>
        </row>
        <row r="272">
          <cell r="C272" t="str">
            <v>MF-022/18</v>
          </cell>
          <cell r="E272" t="str">
            <v>MICROELEMENTO SFERA 4 A GRANEL</v>
          </cell>
          <cell r="F272" t="str">
            <v>MANTTRA AMERICAS</v>
          </cell>
          <cell r="P272">
            <v>52</v>
          </cell>
          <cell r="R272" t="str">
            <v>CFR</v>
          </cell>
          <cell r="S272">
            <v>280</v>
          </cell>
          <cell r="Y272">
            <v>43231</v>
          </cell>
          <cell r="AF272" t="str">
            <v>CALLAO</v>
          </cell>
        </row>
        <row r="273">
          <cell r="C273" t="str">
            <v>MF-023A/18</v>
          </cell>
          <cell r="E273" t="str">
            <v>UREA PERLADA</v>
          </cell>
          <cell r="F273" t="str">
            <v>GAVILON</v>
          </cell>
          <cell r="P273">
            <v>1100</v>
          </cell>
          <cell r="R273" t="str">
            <v>CFR</v>
          </cell>
          <cell r="S273">
            <v>264.5</v>
          </cell>
          <cell r="Y273">
            <v>43270</v>
          </cell>
          <cell r="AF273" t="str">
            <v>PAITA</v>
          </cell>
        </row>
        <row r="274">
          <cell r="C274" t="str">
            <v>MF-023B/18</v>
          </cell>
          <cell r="E274" t="str">
            <v>UREA PERLADA</v>
          </cell>
          <cell r="F274" t="str">
            <v>GAVILON</v>
          </cell>
          <cell r="P274">
            <v>1700</v>
          </cell>
          <cell r="R274" t="str">
            <v>CFR</v>
          </cell>
          <cell r="S274">
            <v>264.5</v>
          </cell>
          <cell r="Y274">
            <v>43276</v>
          </cell>
          <cell r="AF274" t="str">
            <v>SALAVERRY</v>
          </cell>
        </row>
        <row r="275">
          <cell r="C275" t="str">
            <v>MF-023C/18</v>
          </cell>
          <cell r="E275" t="str">
            <v>UREA PERLADA</v>
          </cell>
          <cell r="F275" t="str">
            <v>GAVILON</v>
          </cell>
          <cell r="P275">
            <v>1700</v>
          </cell>
          <cell r="R275" t="str">
            <v>CFR</v>
          </cell>
          <cell r="S275">
            <v>264.5</v>
          </cell>
          <cell r="Y275">
            <v>43273</v>
          </cell>
          <cell r="AF275" t="str">
            <v>CALLAO</v>
          </cell>
        </row>
        <row r="276">
          <cell r="C276" t="str">
            <v>MF-023D/18</v>
          </cell>
          <cell r="E276" t="str">
            <v>UREA PERLADA</v>
          </cell>
          <cell r="F276" t="str">
            <v>GAVILON</v>
          </cell>
          <cell r="P276">
            <v>0</v>
          </cell>
          <cell r="R276">
            <v>0</v>
          </cell>
          <cell r="S276">
            <v>0</v>
          </cell>
          <cell r="Y276">
            <v>0</v>
          </cell>
          <cell r="AF276">
            <v>0</v>
          </cell>
        </row>
        <row r="277">
          <cell r="C277" t="str">
            <v>MF-024A/18</v>
          </cell>
          <cell r="E277" t="str">
            <v>NITRATO DE AMONIO</v>
          </cell>
          <cell r="F277" t="str">
            <v>GAVILON</v>
          </cell>
          <cell r="P277">
            <v>630</v>
          </cell>
          <cell r="R277" t="str">
            <v>CFR</v>
          </cell>
          <cell r="S277">
            <v>246</v>
          </cell>
          <cell r="Y277">
            <v>43270</v>
          </cell>
          <cell r="AF277" t="str">
            <v>PAITA</v>
          </cell>
        </row>
        <row r="278">
          <cell r="C278" t="str">
            <v>MF-024B/18</v>
          </cell>
          <cell r="E278" t="str">
            <v>NITRATO DE AMONIO</v>
          </cell>
          <cell r="F278" t="str">
            <v>GAVILON</v>
          </cell>
          <cell r="P278">
            <v>2160</v>
          </cell>
          <cell r="R278" t="str">
            <v>CFR</v>
          </cell>
          <cell r="S278">
            <v>246</v>
          </cell>
          <cell r="Y278">
            <v>43276</v>
          </cell>
          <cell r="AF278" t="str">
            <v>SALAVERRY</v>
          </cell>
        </row>
        <row r="279">
          <cell r="C279" t="str">
            <v>MF-024C/18</v>
          </cell>
          <cell r="E279" t="str">
            <v>NITRATO DE AMONIO</v>
          </cell>
          <cell r="F279" t="str">
            <v>GAVILON</v>
          </cell>
          <cell r="P279">
            <v>1170</v>
          </cell>
          <cell r="R279" t="str">
            <v>CFR</v>
          </cell>
          <cell r="S279">
            <v>246</v>
          </cell>
          <cell r="Y279">
            <v>43273</v>
          </cell>
          <cell r="AF279" t="str">
            <v>CALLAO</v>
          </cell>
        </row>
        <row r="280">
          <cell r="C280" t="str">
            <v>MF-024D/18</v>
          </cell>
          <cell r="E280" t="str">
            <v>NITRATO DE AMONIO</v>
          </cell>
          <cell r="F280" t="str">
            <v>GAVILON</v>
          </cell>
          <cell r="P280">
            <v>720</v>
          </cell>
          <cell r="R280" t="str">
            <v>CFR</v>
          </cell>
          <cell r="S280">
            <v>246</v>
          </cell>
          <cell r="Y280">
            <v>43279</v>
          </cell>
          <cell r="AF280" t="str">
            <v>PISCO</v>
          </cell>
        </row>
        <row r="281">
          <cell r="C281" t="str">
            <v>MF-024E/18</v>
          </cell>
          <cell r="E281" t="str">
            <v>NITRATO DE AMONIO</v>
          </cell>
          <cell r="F281" t="str">
            <v>GAVILON</v>
          </cell>
          <cell r="P281">
            <v>720</v>
          </cell>
          <cell r="R281" t="str">
            <v>CFR</v>
          </cell>
          <cell r="S281">
            <v>246</v>
          </cell>
          <cell r="Y281">
            <v>43282</v>
          </cell>
          <cell r="AF281" t="str">
            <v>MATARANI</v>
          </cell>
        </row>
        <row r="282">
          <cell r="C282" t="str">
            <v>MF-025/18</v>
          </cell>
          <cell r="E282" t="str">
            <v>SULFATO DE POTASIO SOLUBLE</v>
          </cell>
          <cell r="F282" t="str">
            <v>KEYTRADE</v>
          </cell>
          <cell r="P282">
            <v>1000</v>
          </cell>
          <cell r="R282" t="str">
            <v>CPT</v>
          </cell>
          <cell r="S282">
            <v>518</v>
          </cell>
          <cell r="Y282">
            <v>43264</v>
          </cell>
          <cell r="AF282" t="str">
            <v>PAITA</v>
          </cell>
        </row>
        <row r="283">
          <cell r="C283" t="str">
            <v>MF-026A/18</v>
          </cell>
          <cell r="E283" t="str">
            <v>NITRATO DE POTASIO CRISTALIZADO</v>
          </cell>
          <cell r="F283" t="str">
            <v>TOYOTA TSUSHO CORPORATION</v>
          </cell>
          <cell r="P283">
            <v>144</v>
          </cell>
          <cell r="R283" t="str">
            <v>CFR</v>
          </cell>
          <cell r="S283">
            <v>800</v>
          </cell>
          <cell r="Y283">
            <v>43276</v>
          </cell>
          <cell r="AF283" t="str">
            <v>CALLAO</v>
          </cell>
        </row>
        <row r="284">
          <cell r="C284" t="str">
            <v>MF-026B/18</v>
          </cell>
          <cell r="E284" t="str">
            <v>NITRATO DE POTASIO CRISTALIZADO</v>
          </cell>
          <cell r="F284" t="str">
            <v>TOYOTA TSUSHO CORPORATION</v>
          </cell>
          <cell r="P284">
            <v>144</v>
          </cell>
          <cell r="R284" t="str">
            <v>CFR</v>
          </cell>
          <cell r="S284">
            <v>805</v>
          </cell>
          <cell r="Y284">
            <v>43303</v>
          </cell>
          <cell r="AF284" t="str">
            <v>PAITA</v>
          </cell>
        </row>
        <row r="285">
          <cell r="C285" t="str">
            <v>MF-027A.1/18</v>
          </cell>
          <cell r="E285" t="str">
            <v>NITRATO DE POTASIO CRISTALIZADO</v>
          </cell>
          <cell r="F285" t="str">
            <v>KEYTRADE</v>
          </cell>
          <cell r="P285">
            <v>265</v>
          </cell>
          <cell r="R285" t="str">
            <v>CPT</v>
          </cell>
          <cell r="S285">
            <v>786</v>
          </cell>
          <cell r="Y285">
            <v>43329</v>
          </cell>
          <cell r="AF285" t="str">
            <v>CALLAO</v>
          </cell>
        </row>
        <row r="286">
          <cell r="C286" t="str">
            <v>MF-027B.1/18</v>
          </cell>
          <cell r="E286" t="str">
            <v>NITRATO DE POTASIO CRISTALIZADO</v>
          </cell>
          <cell r="F286" t="str">
            <v>KEYTRADE</v>
          </cell>
          <cell r="P286">
            <v>265</v>
          </cell>
          <cell r="R286" t="str">
            <v>CPT</v>
          </cell>
          <cell r="S286">
            <v>791</v>
          </cell>
          <cell r="Y286">
            <v>43328</v>
          </cell>
          <cell r="AF286" t="str">
            <v>PAITA</v>
          </cell>
        </row>
        <row r="287">
          <cell r="C287" t="str">
            <v>MF-027A.2/18</v>
          </cell>
          <cell r="E287" t="str">
            <v>NITRATO DE POTASIO CRISTALIZADO</v>
          </cell>
          <cell r="F287" t="str">
            <v>KEYTRADE</v>
          </cell>
          <cell r="P287">
            <v>291.5</v>
          </cell>
          <cell r="R287" t="str">
            <v>CPT</v>
          </cell>
          <cell r="S287">
            <v>786</v>
          </cell>
          <cell r="Y287">
            <v>43331</v>
          </cell>
          <cell r="AF287" t="str">
            <v>CALLAO</v>
          </cell>
        </row>
        <row r="288">
          <cell r="C288" t="str">
            <v>MF-027B.2/18</v>
          </cell>
          <cell r="E288" t="str">
            <v>NITRATO DE POTASIO CRISTALIZADO</v>
          </cell>
          <cell r="F288" t="str">
            <v>KEYTRADE</v>
          </cell>
          <cell r="P288">
            <v>265</v>
          </cell>
          <cell r="R288" t="str">
            <v>CPT</v>
          </cell>
          <cell r="S288">
            <v>791</v>
          </cell>
          <cell r="Y288">
            <v>43335</v>
          </cell>
          <cell r="AF288" t="str">
            <v>PAITA</v>
          </cell>
        </row>
        <row r="289">
          <cell r="C289" t="str">
            <v>MF-028A/18</v>
          </cell>
          <cell r="E289" t="str">
            <v>SULFATO DE ZINC HEPTAHIDRATADO</v>
          </cell>
          <cell r="F289" t="str">
            <v>NITRON GROUP CORPORATION</v>
          </cell>
          <cell r="P289">
            <v>243</v>
          </cell>
          <cell r="R289" t="str">
            <v>CFR</v>
          </cell>
          <cell r="S289">
            <v>808</v>
          </cell>
          <cell r="Y289">
            <v>43316</v>
          </cell>
          <cell r="AF289" t="str">
            <v>CALLAO</v>
          </cell>
        </row>
        <row r="290">
          <cell r="C290" t="str">
            <v>MF-028B/18</v>
          </cell>
          <cell r="E290" t="str">
            <v>SULFATO DE ZINC HEPTAHIDRATADO</v>
          </cell>
          <cell r="F290" t="str">
            <v>NITRON GROUP CORPORATION</v>
          </cell>
          <cell r="P290">
            <v>152</v>
          </cell>
          <cell r="R290" t="str">
            <v>CFR</v>
          </cell>
          <cell r="S290">
            <v>814</v>
          </cell>
          <cell r="Y290">
            <v>43308</v>
          </cell>
          <cell r="AF290" t="str">
            <v>PAITA</v>
          </cell>
        </row>
        <row r="291">
          <cell r="C291" t="str">
            <v>MF-029A/18</v>
          </cell>
          <cell r="E291" t="str">
            <v>ÁCIDO FOSFÓRICO</v>
          </cell>
          <cell r="F291" t="str">
            <v>NITRON GROUP CORPORATION</v>
          </cell>
          <cell r="P291">
            <v>425.6</v>
          </cell>
          <cell r="R291" t="str">
            <v>CFR</v>
          </cell>
          <cell r="S291">
            <v>908</v>
          </cell>
          <cell r="Y291">
            <v>43281</v>
          </cell>
          <cell r="AF291" t="str">
            <v>CALLAO</v>
          </cell>
        </row>
        <row r="292">
          <cell r="C292" t="str">
            <v>MF-029B/18</v>
          </cell>
          <cell r="E292" t="str">
            <v>ÁCIDO FOSFÓRICO</v>
          </cell>
          <cell r="F292" t="str">
            <v>NITRON GROUP CORPORATION</v>
          </cell>
          <cell r="P292">
            <v>425.6</v>
          </cell>
          <cell r="R292" t="str">
            <v>CFR</v>
          </cell>
          <cell r="S292">
            <v>912</v>
          </cell>
          <cell r="Y292">
            <v>43277</v>
          </cell>
          <cell r="AF292" t="str">
            <v>PAITA</v>
          </cell>
        </row>
        <row r="293">
          <cell r="C293" t="str">
            <v>MF-030/18</v>
          </cell>
          <cell r="E293" t="str">
            <v>SULFATO DE POTASIO GRANULAR</v>
          </cell>
          <cell r="F293" t="str">
            <v xml:space="preserve">K+S KALI GMBH </v>
          </cell>
          <cell r="P293">
            <v>588.10599999999999</v>
          </cell>
          <cell r="R293" t="str">
            <v>CPT</v>
          </cell>
          <cell r="S293">
            <v>525</v>
          </cell>
          <cell r="Y293">
            <v>43276</v>
          </cell>
          <cell r="AF293" t="str">
            <v>PAITA</v>
          </cell>
        </row>
        <row r="294">
          <cell r="C294" t="str">
            <v>MF-031/18</v>
          </cell>
          <cell r="E294" t="str">
            <v>SULFATO DE POTASIO SOLUBLE</v>
          </cell>
          <cell r="F294" t="str">
            <v>KEYTRADE</v>
          </cell>
          <cell r="P294">
            <v>125</v>
          </cell>
          <cell r="R294" t="str">
            <v>CPT</v>
          </cell>
          <cell r="S294">
            <v>518</v>
          </cell>
          <cell r="Y294">
            <v>43264</v>
          </cell>
          <cell r="AF294" t="str">
            <v>PAITA</v>
          </cell>
        </row>
        <row r="295">
          <cell r="C295" t="str">
            <v>MF-032/18</v>
          </cell>
          <cell r="E295" t="str">
            <v>SULFATO DE POTASIO SOLUBLE ORG X 25KG - HORTISUL</v>
          </cell>
          <cell r="F295" t="str">
            <v xml:space="preserve">K+S KALI GMBH </v>
          </cell>
          <cell r="P295">
            <v>88</v>
          </cell>
          <cell r="R295" t="str">
            <v>CFR</v>
          </cell>
          <cell r="S295">
            <v>690</v>
          </cell>
          <cell r="Y295">
            <v>43290</v>
          </cell>
          <cell r="AF295" t="str">
            <v>PAITA</v>
          </cell>
        </row>
        <row r="296">
          <cell r="C296" t="str">
            <v>MF-033/18</v>
          </cell>
          <cell r="E296" t="str">
            <v>SULFATO DE MAGNESIO HEPTAHIDRATADO ORG X 25KG - EPSOTOP</v>
          </cell>
          <cell r="F296" t="str">
            <v xml:space="preserve">K+S KALI GMBH </v>
          </cell>
          <cell r="P296">
            <v>57.75</v>
          </cell>
          <cell r="R296" t="str">
            <v>CFR</v>
          </cell>
          <cell r="S296">
            <v>295</v>
          </cell>
          <cell r="Y296">
            <v>43297</v>
          </cell>
          <cell r="AF296" t="str">
            <v>PAITA</v>
          </cell>
        </row>
        <row r="297">
          <cell r="C297" t="str">
            <v>MF-034A/18</v>
          </cell>
          <cell r="E297" t="str">
            <v>MICROMAX FE HBED X 1KG</v>
          </cell>
          <cell r="F297" t="str">
            <v>ICL PREMIUM FERTILIZERS</v>
          </cell>
          <cell r="P297">
            <v>0.18</v>
          </cell>
          <cell r="R297" t="str">
            <v>CIF</v>
          </cell>
          <cell r="S297">
            <v>12970</v>
          </cell>
          <cell r="Y297">
            <v>43369</v>
          </cell>
          <cell r="AF297" t="str">
            <v>CALLAO</v>
          </cell>
        </row>
        <row r="298">
          <cell r="C298" t="str">
            <v>MF-034B/18</v>
          </cell>
          <cell r="E298" t="str">
            <v>MICROMAX ZN EDTA X 1KG</v>
          </cell>
          <cell r="F298" t="str">
            <v>ICL PREMIUM FERTILIZERS</v>
          </cell>
          <cell r="P298">
            <v>0.24</v>
          </cell>
          <cell r="R298" t="str">
            <v>CIF</v>
          </cell>
          <cell r="S298">
            <v>5370</v>
          </cell>
          <cell r="Y298">
            <v>43369</v>
          </cell>
          <cell r="AF298" t="str">
            <v>CALLAO</v>
          </cell>
        </row>
        <row r="299">
          <cell r="C299" t="str">
            <v>MF-034C/18</v>
          </cell>
          <cell r="E299" t="str">
            <v>MICROMAX MN EDTA X 1KG</v>
          </cell>
          <cell r="F299" t="str">
            <v>ICL PREMIUM FERTILIZERS</v>
          </cell>
          <cell r="P299">
            <v>0.3</v>
          </cell>
          <cell r="R299" t="str">
            <v>CIF</v>
          </cell>
          <cell r="S299">
            <v>5370</v>
          </cell>
          <cell r="Y299">
            <v>43369</v>
          </cell>
          <cell r="AF299" t="str">
            <v>CALLAO</v>
          </cell>
        </row>
        <row r="300">
          <cell r="C300" t="str">
            <v>MF-035A/18</v>
          </cell>
          <cell r="E300" t="str">
            <v>FOSFATO MONOAMÓNICO GRANULAR</v>
          </cell>
          <cell r="F300" t="str">
            <v>NITRON GROUP CORPORATION</v>
          </cell>
          <cell r="P300">
            <v>230</v>
          </cell>
          <cell r="R300" t="str">
            <v>CFR</v>
          </cell>
          <cell r="S300">
            <v>442</v>
          </cell>
          <cell r="Y300">
            <v>43300</v>
          </cell>
          <cell r="AF300" t="str">
            <v>PAITA</v>
          </cell>
        </row>
        <row r="301">
          <cell r="C301" t="str">
            <v>MF-035B/18</v>
          </cell>
          <cell r="E301" t="str">
            <v>FOSFATO MONOAMÓNICO GRANULAR</v>
          </cell>
          <cell r="F301" t="str">
            <v>NITRON GROUP CORPORATION</v>
          </cell>
          <cell r="P301">
            <v>900</v>
          </cell>
          <cell r="R301" t="str">
            <v>CFR</v>
          </cell>
          <cell r="S301">
            <v>442</v>
          </cell>
          <cell r="Y301">
            <v>43302</v>
          </cell>
          <cell r="AF301" t="str">
            <v>SALAVERRY</v>
          </cell>
        </row>
        <row r="302">
          <cell r="C302" t="str">
            <v>MF-035C/18</v>
          </cell>
          <cell r="E302" t="str">
            <v>FOSFATO MONOAMÓNICO GRANULAR</v>
          </cell>
          <cell r="F302" t="str">
            <v>NITRON GROUP CORPORATION</v>
          </cell>
          <cell r="P302">
            <v>340</v>
          </cell>
          <cell r="R302" t="str">
            <v>CFR</v>
          </cell>
          <cell r="S302">
            <v>442</v>
          </cell>
          <cell r="Y302">
            <v>43310</v>
          </cell>
          <cell r="AF302" t="str">
            <v>CALLAO</v>
          </cell>
        </row>
        <row r="303">
          <cell r="C303" t="str">
            <v>MF-035D/18</v>
          </cell>
          <cell r="E303" t="str">
            <v>FOSFATO MONOAMÓNICO GRANULAR</v>
          </cell>
          <cell r="F303" t="str">
            <v>NITRON GROUP CORPORATION</v>
          </cell>
          <cell r="P303">
            <v>1360.127</v>
          </cell>
          <cell r="R303" t="str">
            <v>CFR</v>
          </cell>
          <cell r="S303">
            <v>442</v>
          </cell>
          <cell r="Y303">
            <v>43313</v>
          </cell>
          <cell r="AF303" t="str">
            <v>MATARANI</v>
          </cell>
        </row>
        <row r="304">
          <cell r="C304" t="str">
            <v>MF-036A/18</v>
          </cell>
          <cell r="E304" t="str">
            <v>SULFATO DE POTASIO SOLUBLE</v>
          </cell>
          <cell r="F304" t="str">
            <v xml:space="preserve">HELIOPOTASSE SA  </v>
          </cell>
          <cell r="P304">
            <v>250</v>
          </cell>
          <cell r="R304" t="str">
            <v>CIF</v>
          </cell>
          <cell r="S304">
            <v>505</v>
          </cell>
          <cell r="Y304">
            <v>43347</v>
          </cell>
          <cell r="AF304" t="str">
            <v>CALLAO</v>
          </cell>
        </row>
        <row r="305">
          <cell r="C305" t="str">
            <v>MF-036B/18</v>
          </cell>
          <cell r="E305" t="str">
            <v>SULFATO DE POTASIO SOLUBLE</v>
          </cell>
          <cell r="F305" t="str">
            <v xml:space="preserve">HELIOPOTASSE SA  </v>
          </cell>
          <cell r="P305">
            <v>250</v>
          </cell>
          <cell r="R305" t="str">
            <v>CIF</v>
          </cell>
          <cell r="S305">
            <v>514</v>
          </cell>
          <cell r="Y305">
            <v>43374</v>
          </cell>
          <cell r="AF305" t="str">
            <v>PAITA</v>
          </cell>
        </row>
        <row r="306">
          <cell r="C306" t="str">
            <v>MF-037A1/18</v>
          </cell>
          <cell r="E306" t="str">
            <v>SULFATO DE POTASIO SOLUBLE</v>
          </cell>
          <cell r="F306" t="str">
            <v xml:space="preserve">HELIOPOTASSE SA  </v>
          </cell>
          <cell r="P306">
            <v>250</v>
          </cell>
          <cell r="R306" t="str">
            <v>CIF</v>
          </cell>
          <cell r="S306">
            <v>505</v>
          </cell>
          <cell r="Y306">
            <v>43375</v>
          </cell>
          <cell r="AF306" t="str">
            <v>CALLAO</v>
          </cell>
        </row>
        <row r="307">
          <cell r="C307" t="str">
            <v>MF-037A2/18</v>
          </cell>
          <cell r="E307" t="str">
            <v>SULFATO DE POTASIO SOLUBLE</v>
          </cell>
          <cell r="F307" t="str">
            <v xml:space="preserve">HELIOPOTASSE SA  </v>
          </cell>
          <cell r="P307">
            <v>275</v>
          </cell>
          <cell r="R307" t="str">
            <v>CIF</v>
          </cell>
          <cell r="S307">
            <v>505</v>
          </cell>
          <cell r="Y307">
            <v>43392</v>
          </cell>
          <cell r="AF307" t="str">
            <v>CALLAO</v>
          </cell>
        </row>
        <row r="308">
          <cell r="C308" t="str">
            <v>MF-037A3/18</v>
          </cell>
          <cell r="E308" t="str">
            <v>SULFATO DE POTASIO SOLUBLE</v>
          </cell>
          <cell r="F308" t="str">
            <v xml:space="preserve">HELIOPOTASSE SA  </v>
          </cell>
          <cell r="P308">
            <v>100</v>
          </cell>
          <cell r="R308" t="str">
            <v>CIF</v>
          </cell>
          <cell r="S308">
            <v>505</v>
          </cell>
          <cell r="Y308">
            <v>43398</v>
          </cell>
          <cell r="AF308" t="str">
            <v>CALLAO</v>
          </cell>
        </row>
        <row r="309">
          <cell r="C309" t="str">
            <v>MF-037B1/18</v>
          </cell>
          <cell r="E309" t="str">
            <v>SULFATO DE POTASIO SOLUBLE</v>
          </cell>
          <cell r="F309" t="str">
            <v xml:space="preserve">HELIOPOTASSE SA  </v>
          </cell>
          <cell r="P309">
            <v>400</v>
          </cell>
          <cell r="R309" t="str">
            <v>CIF</v>
          </cell>
          <cell r="S309">
            <v>514</v>
          </cell>
          <cell r="Y309">
            <v>43374</v>
          </cell>
          <cell r="AF309" t="str">
            <v>PAITA</v>
          </cell>
        </row>
        <row r="310">
          <cell r="C310" t="str">
            <v>MF-037B2/18</v>
          </cell>
          <cell r="E310" t="str">
            <v>SULFATO DE POTASIO SOLUBLE</v>
          </cell>
          <cell r="F310" t="str">
            <v xml:space="preserve">HELIOPOTASSE SA  </v>
          </cell>
          <cell r="P310">
            <v>150</v>
          </cell>
          <cell r="R310" t="str">
            <v>CIF</v>
          </cell>
          <cell r="S310">
            <v>514</v>
          </cell>
          <cell r="Y310">
            <v>43374</v>
          </cell>
          <cell r="AF310" t="str">
            <v>PAITA</v>
          </cell>
        </row>
        <row r="311">
          <cell r="C311" t="str">
            <v>MF-037B3/18</v>
          </cell>
          <cell r="E311" t="str">
            <v>SULFATO DE POTASIO SOLUBLE</v>
          </cell>
          <cell r="F311" t="str">
            <v xml:space="preserve">HELIOPOTASSE SA  </v>
          </cell>
          <cell r="P311">
            <v>325</v>
          </cell>
          <cell r="R311" t="str">
            <v>CIF</v>
          </cell>
          <cell r="S311">
            <v>514</v>
          </cell>
          <cell r="Y311">
            <v>43409</v>
          </cell>
          <cell r="AF311" t="str">
            <v>PAITA</v>
          </cell>
        </row>
        <row r="312">
          <cell r="C312" t="str">
            <v>MF-038A/18</v>
          </cell>
          <cell r="E312" t="str">
            <v>ÁCIDO FOSFÓRICO</v>
          </cell>
          <cell r="F312" t="str">
            <v>KEYTRADE</v>
          </cell>
          <cell r="P312">
            <v>558.6</v>
          </cell>
          <cell r="R312" t="str">
            <v>CPT</v>
          </cell>
          <cell r="S312">
            <v>878</v>
          </cell>
          <cell r="Y312">
            <v>43365</v>
          </cell>
          <cell r="AF312" t="str">
            <v>CALLAO</v>
          </cell>
        </row>
        <row r="313">
          <cell r="C313" t="str">
            <v>MF-038B1/18</v>
          </cell>
          <cell r="E313" t="str">
            <v>ÁCIDO FOSFÓRICO</v>
          </cell>
          <cell r="F313" t="str">
            <v>KEYTRADE</v>
          </cell>
          <cell r="P313">
            <v>424.05599999999998</v>
          </cell>
          <cell r="R313" t="str">
            <v>CPT</v>
          </cell>
          <cell r="S313">
            <v>883</v>
          </cell>
          <cell r="Y313">
            <v>43352</v>
          </cell>
          <cell r="AF313" t="str">
            <v>PAITA</v>
          </cell>
        </row>
        <row r="314">
          <cell r="C314" t="str">
            <v>MF-038B2/18</v>
          </cell>
          <cell r="E314" t="str">
            <v>ÁCIDO FOSFÓRICO</v>
          </cell>
          <cell r="F314" t="str">
            <v>KEYTRADE</v>
          </cell>
          <cell r="P314">
            <v>106.4</v>
          </cell>
          <cell r="R314" t="str">
            <v>CPT</v>
          </cell>
          <cell r="S314">
            <v>883</v>
          </cell>
          <cell r="Y314">
            <v>43384</v>
          </cell>
          <cell r="AF314" t="str">
            <v>PAITA</v>
          </cell>
        </row>
        <row r="315">
          <cell r="C315" t="str">
            <v>MF-039A/18</v>
          </cell>
          <cell r="E315" t="str">
            <v>SAL DOBLE DE NITRATO DE CALCIO Y AMONIO</v>
          </cell>
          <cell r="F315" t="str">
            <v>KEYTRADE</v>
          </cell>
          <cell r="P315">
            <v>448</v>
          </cell>
          <cell r="R315" t="str">
            <v>CPT</v>
          </cell>
          <cell r="S315">
            <v>266</v>
          </cell>
          <cell r="Y315">
            <v>43337</v>
          </cell>
          <cell r="AF315" t="str">
            <v>CALLAO</v>
          </cell>
        </row>
        <row r="316">
          <cell r="C316" t="str">
            <v>MF-039B/18</v>
          </cell>
          <cell r="E316" t="str">
            <v>SAL DOBLE DE NITRATO DE CALCIO Y AMONIO</v>
          </cell>
          <cell r="F316" t="str">
            <v>KEYTRADE</v>
          </cell>
          <cell r="P316">
            <v>1092</v>
          </cell>
          <cell r="R316" t="str">
            <v>CPT</v>
          </cell>
          <cell r="S316">
            <v>271</v>
          </cell>
          <cell r="Y316">
            <v>43348</v>
          </cell>
          <cell r="AF316" t="str">
            <v>PAITA</v>
          </cell>
        </row>
        <row r="317">
          <cell r="C317" t="str">
            <v>MF-040A/18</v>
          </cell>
          <cell r="E317" t="str">
            <v>MICROMAX FE HBED X 1KG</v>
          </cell>
          <cell r="F317" t="str">
            <v>ICL PREMIUM FERTILIZERS</v>
          </cell>
          <cell r="P317">
            <v>3.82</v>
          </cell>
          <cell r="R317" t="str">
            <v>CIF</v>
          </cell>
          <cell r="S317">
            <v>12970</v>
          </cell>
          <cell r="Y317">
            <v>43419</v>
          </cell>
          <cell r="AF317" t="str">
            <v>CALLAO</v>
          </cell>
        </row>
        <row r="318">
          <cell r="C318" t="str">
            <v>MF-040B/18</v>
          </cell>
          <cell r="E318" t="str">
            <v>MICROMAX ZN EDTA X 1KG</v>
          </cell>
          <cell r="F318" t="str">
            <v>ICL PREMIUM FERTILIZERS</v>
          </cell>
          <cell r="P318">
            <v>1.86</v>
          </cell>
          <cell r="R318" t="str">
            <v>CIF</v>
          </cell>
          <cell r="S318">
            <v>5370</v>
          </cell>
          <cell r="Y318">
            <v>43419</v>
          </cell>
          <cell r="AF318" t="str">
            <v>CALLAO</v>
          </cell>
        </row>
        <row r="319">
          <cell r="C319" t="str">
            <v>MF-040C/18</v>
          </cell>
          <cell r="E319" t="str">
            <v>MICROMAX MN EDTA X 1KG</v>
          </cell>
          <cell r="F319" t="str">
            <v>ICL PREMIUM FERTILIZERS</v>
          </cell>
          <cell r="P319">
            <v>2.1</v>
          </cell>
          <cell r="R319" t="str">
            <v>CIF</v>
          </cell>
          <cell r="S319">
            <v>5370</v>
          </cell>
          <cell r="Y319">
            <v>43419</v>
          </cell>
          <cell r="AF319" t="str">
            <v>CALLAO</v>
          </cell>
        </row>
        <row r="320">
          <cell r="C320" t="str">
            <v>MF-041A/18</v>
          </cell>
          <cell r="E320" t="str">
            <v>SULFATO DE AMONIO MARRÓN ESTÁNDAR</v>
          </cell>
          <cell r="F320" t="str">
            <v>NITRON GROUP CORPORATION</v>
          </cell>
          <cell r="P320">
            <v>2640</v>
          </cell>
          <cell r="R320" t="str">
            <v>CFR</v>
          </cell>
          <cell r="S320">
            <v>155</v>
          </cell>
          <cell r="Y320">
            <v>43344</v>
          </cell>
          <cell r="AF320" t="str">
            <v>PAITA</v>
          </cell>
        </row>
        <row r="321">
          <cell r="C321" t="str">
            <v>MF-041B/18</v>
          </cell>
          <cell r="E321" t="str">
            <v>SULFATO DE AMONIO MARRÓN ESTÁNDAR</v>
          </cell>
          <cell r="F321" t="str">
            <v>NITRON GROUP CORPORATION</v>
          </cell>
          <cell r="P321">
            <v>2640</v>
          </cell>
          <cell r="R321" t="str">
            <v>CFR</v>
          </cell>
          <cell r="S321">
            <v>155</v>
          </cell>
          <cell r="Y321">
            <v>43347</v>
          </cell>
          <cell r="AF321" t="str">
            <v>SALAVERRY</v>
          </cell>
        </row>
        <row r="322">
          <cell r="C322" t="str">
            <v>MF-041C/18</v>
          </cell>
          <cell r="E322" t="str">
            <v>SULFATO DE AMONIO MARRÓN ESTÁNDAR</v>
          </cell>
          <cell r="F322" t="str">
            <v>NITRON GROUP CORPORATION</v>
          </cell>
          <cell r="P322">
            <v>850</v>
          </cell>
          <cell r="R322" t="str">
            <v>CFR</v>
          </cell>
          <cell r="S322">
            <v>155</v>
          </cell>
          <cell r="Y322">
            <v>43350</v>
          </cell>
          <cell r="AF322" t="str">
            <v>CALLAO</v>
          </cell>
        </row>
        <row r="323">
          <cell r="C323" t="str">
            <v>MF-041D/18</v>
          </cell>
          <cell r="E323" t="str">
            <v>SULFATO DE AMONIO MARRÓN ESTÁNDAR</v>
          </cell>
          <cell r="F323" t="str">
            <v>NITRON GROUP CORPORATION</v>
          </cell>
          <cell r="P323">
            <v>1275</v>
          </cell>
          <cell r="R323" t="str">
            <v>CFR</v>
          </cell>
          <cell r="S323">
            <v>155</v>
          </cell>
          <cell r="Y323">
            <v>43353</v>
          </cell>
          <cell r="AF323" t="str">
            <v>MATARANI</v>
          </cell>
        </row>
        <row r="324">
          <cell r="C324" t="str">
            <v>MF-042A/18</v>
          </cell>
          <cell r="E324" t="str">
            <v>SULFATO DE AMONIO BLANCO GRANULAR</v>
          </cell>
          <cell r="F324" t="str">
            <v>NITRON GROUP CORPORATION</v>
          </cell>
          <cell r="P324">
            <v>400</v>
          </cell>
          <cell r="R324" t="str">
            <v>CFR</v>
          </cell>
          <cell r="S324">
            <v>193</v>
          </cell>
          <cell r="Y324">
            <v>43344</v>
          </cell>
          <cell r="AF324" t="str">
            <v>PAITA</v>
          </cell>
        </row>
        <row r="325">
          <cell r="C325" t="str">
            <v>MF-042B/18</v>
          </cell>
          <cell r="E325" t="str">
            <v>SULFATO DE AMONIO BLANCO GRANULAR</v>
          </cell>
          <cell r="F325" t="str">
            <v>NITRON GROUP CORPORATION</v>
          </cell>
          <cell r="P325">
            <v>350</v>
          </cell>
          <cell r="R325" t="str">
            <v>CFR</v>
          </cell>
          <cell r="S325">
            <v>193</v>
          </cell>
          <cell r="Y325">
            <v>43347</v>
          </cell>
          <cell r="AF325" t="str">
            <v>SALAVERRY</v>
          </cell>
        </row>
        <row r="326">
          <cell r="C326" t="str">
            <v>MF-042C/18</v>
          </cell>
          <cell r="E326" t="str">
            <v>SULFATO DE AMONIO BLANCO GRANULAR</v>
          </cell>
          <cell r="F326" t="str">
            <v>NITRON GROUP CORPORATION</v>
          </cell>
          <cell r="P326">
            <v>100</v>
          </cell>
          <cell r="R326" t="str">
            <v>CFR</v>
          </cell>
          <cell r="S326">
            <v>193</v>
          </cell>
          <cell r="Y326">
            <v>43350</v>
          </cell>
          <cell r="AF326" t="str">
            <v>CALLAO</v>
          </cell>
        </row>
        <row r="327">
          <cell r="C327" t="str">
            <v>MF-042D/18</v>
          </cell>
          <cell r="E327" t="str">
            <v>SULFATO DE AMONIO BLANCO GRANULAR</v>
          </cell>
          <cell r="F327" t="str">
            <v>NITRON GROUP CORPORATION</v>
          </cell>
          <cell r="P327">
            <v>250</v>
          </cell>
          <cell r="R327" t="str">
            <v>CFR</v>
          </cell>
          <cell r="S327">
            <v>193</v>
          </cell>
          <cell r="Y327">
            <v>43353</v>
          </cell>
          <cell r="AF327" t="str">
            <v>MATARANI</v>
          </cell>
        </row>
        <row r="328">
          <cell r="C328" t="str">
            <v>MF-043A/18</v>
          </cell>
          <cell r="E328" t="str">
            <v>FOSFATO DIAMÓNICO GRANULAR</v>
          </cell>
          <cell r="F328" t="str">
            <v>NITRON GROUP CORPORATION</v>
          </cell>
          <cell r="P328">
            <v>880</v>
          </cell>
          <cell r="R328" t="str">
            <v>CFR</v>
          </cell>
          <cell r="S328">
            <v>453</v>
          </cell>
          <cell r="Y328">
            <v>43344</v>
          </cell>
          <cell r="AF328" t="str">
            <v>PAITA</v>
          </cell>
        </row>
        <row r="329">
          <cell r="C329" t="str">
            <v>MF-043B/18</v>
          </cell>
          <cell r="E329" t="str">
            <v>FOSFATO DIAMÓNICO GRANULAR</v>
          </cell>
          <cell r="F329" t="str">
            <v>NITRON GROUP CORPORATION</v>
          </cell>
          <cell r="P329">
            <v>1210</v>
          </cell>
          <cell r="R329" t="str">
            <v>CFR</v>
          </cell>
          <cell r="S329">
            <v>453</v>
          </cell>
          <cell r="Y329">
            <v>43347</v>
          </cell>
          <cell r="AF329" t="str">
            <v>SALAVERRY</v>
          </cell>
        </row>
        <row r="330">
          <cell r="C330" t="str">
            <v>MF-043C/18</v>
          </cell>
          <cell r="E330" t="str">
            <v>FOSFATO DIAMÓNICO GRANULAR</v>
          </cell>
          <cell r="F330" t="str">
            <v>NITRON GROUP CORPORATION</v>
          </cell>
          <cell r="P330">
            <v>1870</v>
          </cell>
          <cell r="R330" t="str">
            <v>CFR</v>
          </cell>
          <cell r="S330">
            <v>453</v>
          </cell>
          <cell r="Y330">
            <v>43350</v>
          </cell>
          <cell r="AF330" t="str">
            <v>CALLAO</v>
          </cell>
        </row>
        <row r="331">
          <cell r="C331" t="str">
            <v>MF-043D/18</v>
          </cell>
          <cell r="E331" t="str">
            <v>FOSFATO DIAMÓNICO GRANULAR</v>
          </cell>
          <cell r="F331" t="str">
            <v>NITRON GROUP CORPORATION</v>
          </cell>
          <cell r="P331">
            <v>1540</v>
          </cell>
          <cell r="R331" t="str">
            <v>CFR</v>
          </cell>
          <cell r="S331">
            <v>453</v>
          </cell>
          <cell r="Y331">
            <v>43353</v>
          </cell>
          <cell r="AF331" t="str">
            <v>MATARANI</v>
          </cell>
        </row>
        <row r="332">
          <cell r="C332" t="str">
            <v>MF-044A/18</v>
          </cell>
          <cell r="E332" t="str">
            <v>FOSFATO MONOAMÓNICO CRISTALIZADO</v>
          </cell>
          <cell r="F332" t="str">
            <v>NITRON GROUP CORPORATION</v>
          </cell>
          <cell r="P332">
            <v>318.75</v>
          </cell>
          <cell r="R332" t="str">
            <v>CFR</v>
          </cell>
          <cell r="S332">
            <v>633</v>
          </cell>
          <cell r="Y332">
            <v>43344</v>
          </cell>
          <cell r="AF332" t="str">
            <v>PAITA</v>
          </cell>
        </row>
        <row r="333">
          <cell r="C333" t="str">
            <v>MF-044B/18</v>
          </cell>
          <cell r="E333" t="str">
            <v>FOSFATO MONOAMÓNICO CRISTALIZADO</v>
          </cell>
          <cell r="F333" t="str">
            <v>NITRON GROUP CORPORATION</v>
          </cell>
          <cell r="P333">
            <v>341.25</v>
          </cell>
          <cell r="R333" t="str">
            <v>CFR</v>
          </cell>
          <cell r="S333">
            <v>633</v>
          </cell>
          <cell r="Y333">
            <v>43347</v>
          </cell>
          <cell r="AF333" t="str">
            <v>SALAVERRY</v>
          </cell>
        </row>
        <row r="334">
          <cell r="C334" t="str">
            <v>MF-045/18</v>
          </cell>
          <cell r="E334" t="str">
            <v xml:space="preserve">SULFATO DE MAGNESIO HEPTAHIDRATADO </v>
          </cell>
          <cell r="F334" t="str">
            <v>MANUCHAR NV</v>
          </cell>
          <cell r="P334">
            <v>900</v>
          </cell>
          <cell r="R334" t="str">
            <v>CFR</v>
          </cell>
          <cell r="S334">
            <v>136</v>
          </cell>
          <cell r="Y334">
            <v>43382</v>
          </cell>
          <cell r="AF334" t="str">
            <v>CALLAO</v>
          </cell>
        </row>
        <row r="335">
          <cell r="C335" t="str">
            <v>MF-046/18</v>
          </cell>
          <cell r="E335" t="str">
            <v>FOSFATO MONOAMÓNICO CRISTALIZADO</v>
          </cell>
          <cell r="F335" t="str">
            <v>MANUCHAR NV</v>
          </cell>
          <cell r="P335">
            <v>400</v>
          </cell>
          <cell r="R335" t="str">
            <v>CFR</v>
          </cell>
          <cell r="S335">
            <v>631</v>
          </cell>
          <cell r="Y335">
            <v>43376</v>
          </cell>
          <cell r="AF335" t="str">
            <v>CALLAO</v>
          </cell>
        </row>
        <row r="336">
          <cell r="C336" t="str">
            <v>MF-047/18</v>
          </cell>
          <cell r="E336" t="str">
            <v>UREA ADBLUE (BIG BAG)</v>
          </cell>
          <cell r="F336" t="str">
            <v>NITRON GROUP CORPORATION</v>
          </cell>
          <cell r="P336">
            <v>56</v>
          </cell>
          <cell r="R336" t="str">
            <v>CFR</v>
          </cell>
          <cell r="S336">
            <v>375</v>
          </cell>
          <cell r="Y336">
            <v>43401</v>
          </cell>
          <cell r="AF336" t="str">
            <v>CALLAO</v>
          </cell>
        </row>
        <row r="337">
          <cell r="C337" t="str">
            <v>MF-048/18</v>
          </cell>
          <cell r="E337" t="str">
            <v>NYIELD ADITIVO</v>
          </cell>
          <cell r="F337" t="str">
            <v>KEYTRADE</v>
          </cell>
          <cell r="P337">
            <v>10.677770000000001</v>
          </cell>
          <cell r="R337" t="str">
            <v>CPT</v>
          </cell>
          <cell r="S337">
            <v>10938.571443288252</v>
          </cell>
          <cell r="Y337">
            <v>43351</v>
          </cell>
          <cell r="AF337" t="str">
            <v>CALLAO</v>
          </cell>
        </row>
        <row r="338">
          <cell r="C338" t="str">
            <v>MF-049A/18</v>
          </cell>
          <cell r="E338" t="str">
            <v>CLORURO DE POTASIO BLANCO ESTANDAR</v>
          </cell>
          <cell r="F338" t="str">
            <v>URALKALI</v>
          </cell>
          <cell r="P338">
            <v>838</v>
          </cell>
          <cell r="R338" t="str">
            <v>CFR</v>
          </cell>
          <cell r="S338">
            <v>304.5</v>
          </cell>
          <cell r="Y338">
            <v>43346</v>
          </cell>
          <cell r="AF338" t="str">
            <v>PAITA</v>
          </cell>
        </row>
        <row r="339">
          <cell r="C339" t="str">
            <v>MF-049B/18</v>
          </cell>
          <cell r="E339" t="str">
            <v>CLORURO DE POTASIO BLANCO ESTANDAR</v>
          </cell>
          <cell r="F339" t="str">
            <v>URALKALI</v>
          </cell>
          <cell r="P339">
            <v>3200</v>
          </cell>
          <cell r="R339" t="str">
            <v>CFR</v>
          </cell>
          <cell r="S339">
            <v>304.5</v>
          </cell>
          <cell r="Y339">
            <v>43348</v>
          </cell>
          <cell r="AF339" t="str">
            <v>SALAVERRY</v>
          </cell>
        </row>
        <row r="340">
          <cell r="C340" t="str">
            <v>MF-049C/18</v>
          </cell>
          <cell r="E340" t="str">
            <v>CLORURO DE POTASIO BLANCO ESTANDAR</v>
          </cell>
          <cell r="F340" t="str">
            <v>URALKALI</v>
          </cell>
          <cell r="P340">
            <v>300</v>
          </cell>
          <cell r="R340" t="str">
            <v>CFR</v>
          </cell>
          <cell r="S340">
            <v>304.5</v>
          </cell>
          <cell r="Y340">
            <v>43364</v>
          </cell>
          <cell r="AF340" t="str">
            <v>CALLAO</v>
          </cell>
        </row>
        <row r="341">
          <cell r="C341" t="str">
            <v>MF-049D/18</v>
          </cell>
          <cell r="E341" t="str">
            <v>CLORURO DE POTASIO BLANCO ESTANDAR</v>
          </cell>
          <cell r="F341" t="str">
            <v>URALKALI</v>
          </cell>
          <cell r="P341">
            <v>150</v>
          </cell>
          <cell r="R341" t="str">
            <v>CFR</v>
          </cell>
          <cell r="S341">
            <v>304.5</v>
          </cell>
          <cell r="Y341">
            <v>43368</v>
          </cell>
          <cell r="AF341" t="str">
            <v>MATARANI</v>
          </cell>
        </row>
        <row r="342">
          <cell r="C342" t="str">
            <v>MF-050A/18</v>
          </cell>
          <cell r="E342" t="str">
            <v>CLORURO DE POTASIO ROJO GRANULAR</v>
          </cell>
          <cell r="F342" t="str">
            <v>CANPOTEX</v>
          </cell>
          <cell r="P342">
            <v>1300</v>
          </cell>
          <cell r="R342" t="str">
            <v>CFR</v>
          </cell>
          <cell r="S342">
            <v>312.5</v>
          </cell>
          <cell r="Y342">
            <v>43361</v>
          </cell>
          <cell r="AF342" t="str">
            <v>SALAVERRY</v>
          </cell>
        </row>
        <row r="343">
          <cell r="C343" t="str">
            <v>MF-050B/18</v>
          </cell>
          <cell r="E343" t="str">
            <v>CLORURO DE POTASIO ROJO GRANULAR</v>
          </cell>
          <cell r="F343" t="str">
            <v>CANPOTEX</v>
          </cell>
          <cell r="P343">
            <v>1200</v>
          </cell>
          <cell r="R343" t="str">
            <v>CFR</v>
          </cell>
          <cell r="S343">
            <v>312.5</v>
          </cell>
          <cell r="Y343">
            <v>43366</v>
          </cell>
          <cell r="AF343" t="str">
            <v>CALLAO</v>
          </cell>
        </row>
        <row r="344">
          <cell r="C344" t="str">
            <v>MF-050C/18</v>
          </cell>
          <cell r="E344" t="str">
            <v>CLORURO DE POTASIO ROJO GRANULAR</v>
          </cell>
          <cell r="F344" t="str">
            <v>CANPOTEX</v>
          </cell>
          <cell r="P344">
            <v>300</v>
          </cell>
          <cell r="R344" t="str">
            <v>CFR</v>
          </cell>
          <cell r="S344">
            <v>312.5</v>
          </cell>
          <cell r="Y344">
            <v>43369</v>
          </cell>
          <cell r="AF344" t="str">
            <v>MATARANI</v>
          </cell>
        </row>
        <row r="345">
          <cell r="C345" t="str">
            <v>MF-051A/18</v>
          </cell>
          <cell r="E345" t="str">
            <v>NITRATO DE AMONIO</v>
          </cell>
          <cell r="F345" t="str">
            <v>GAVILON</v>
          </cell>
          <cell r="P345">
            <v>1200</v>
          </cell>
          <cell r="R345" t="str">
            <v>CFR</v>
          </cell>
          <cell r="S345">
            <v>277.5</v>
          </cell>
          <cell r="Y345">
            <v>43346</v>
          </cell>
          <cell r="AF345" t="str">
            <v>PAITA</v>
          </cell>
        </row>
        <row r="346">
          <cell r="C346" t="str">
            <v>MF-051B/18</v>
          </cell>
          <cell r="E346" t="str">
            <v>NITRATO DE AMONIO</v>
          </cell>
          <cell r="F346" t="str">
            <v>GAVILON</v>
          </cell>
          <cell r="P346">
            <v>2000</v>
          </cell>
          <cell r="R346" t="str">
            <v>CFR</v>
          </cell>
          <cell r="S346">
            <v>277.5</v>
          </cell>
          <cell r="Y346">
            <v>43348</v>
          </cell>
          <cell r="AF346" t="str">
            <v>SALAVERRY</v>
          </cell>
        </row>
        <row r="347">
          <cell r="C347" t="str">
            <v>MF-051C/18</v>
          </cell>
          <cell r="E347" t="str">
            <v>NITRATO DE AMONIO</v>
          </cell>
          <cell r="F347" t="str">
            <v>GAVILON</v>
          </cell>
          <cell r="P347">
            <v>1950</v>
          </cell>
          <cell r="R347" t="str">
            <v>CFR</v>
          </cell>
          <cell r="S347">
            <v>277.5</v>
          </cell>
          <cell r="Y347">
            <v>43364</v>
          </cell>
          <cell r="AF347" t="str">
            <v>CALLAO</v>
          </cell>
        </row>
        <row r="348">
          <cell r="C348" t="str">
            <v>MF-051D/18</v>
          </cell>
          <cell r="E348" t="str">
            <v>NITRATO DE AMONIO</v>
          </cell>
          <cell r="F348" t="str">
            <v>GAVILON</v>
          </cell>
          <cell r="P348">
            <v>450</v>
          </cell>
          <cell r="R348" t="str">
            <v>CFR</v>
          </cell>
          <cell r="S348">
            <v>277.5</v>
          </cell>
          <cell r="Y348">
            <v>43366</v>
          </cell>
          <cell r="AF348" t="str">
            <v>PISCO</v>
          </cell>
        </row>
        <row r="349">
          <cell r="C349" t="str">
            <v>MF-051E/18</v>
          </cell>
          <cell r="E349" t="str">
            <v>NITRATO DE AMONIO</v>
          </cell>
          <cell r="F349" t="str">
            <v>GAVILON</v>
          </cell>
          <cell r="P349">
            <v>1072.25</v>
          </cell>
          <cell r="R349" t="str">
            <v>CFR</v>
          </cell>
          <cell r="S349">
            <v>277.5</v>
          </cell>
          <cell r="Y349">
            <v>43368</v>
          </cell>
          <cell r="AF349" t="str">
            <v>MATARANI</v>
          </cell>
        </row>
        <row r="350">
          <cell r="C350" t="str">
            <v>MF-052A/18</v>
          </cell>
          <cell r="E350" t="str">
            <v>UREA GRANULADA</v>
          </cell>
          <cell r="F350" t="str">
            <v>GAVILON</v>
          </cell>
          <cell r="P350">
            <v>800</v>
          </cell>
          <cell r="R350" t="str">
            <v>CFR</v>
          </cell>
          <cell r="S350">
            <v>311.5</v>
          </cell>
          <cell r="Y350">
            <v>43348</v>
          </cell>
          <cell r="AF350" t="str">
            <v>SALAVERRY</v>
          </cell>
        </row>
        <row r="351">
          <cell r="C351" t="str">
            <v>MF-052B18</v>
          </cell>
          <cell r="E351" t="str">
            <v>UREA GRANULADA</v>
          </cell>
          <cell r="F351" t="str">
            <v>GAVILON</v>
          </cell>
          <cell r="P351">
            <v>500</v>
          </cell>
          <cell r="R351" t="str">
            <v>CFR</v>
          </cell>
          <cell r="S351">
            <v>311.5</v>
          </cell>
          <cell r="Y351">
            <v>43364</v>
          </cell>
          <cell r="AF351" t="str">
            <v>CALLAO</v>
          </cell>
        </row>
        <row r="352">
          <cell r="C352" t="str">
            <v>MF-052C/18</v>
          </cell>
          <cell r="E352" t="str">
            <v>UREA GRANULADA</v>
          </cell>
          <cell r="F352" t="str">
            <v>GAVILON</v>
          </cell>
          <cell r="P352">
            <v>295.64999999999998</v>
          </cell>
          <cell r="R352" t="str">
            <v>CFR</v>
          </cell>
          <cell r="S352">
            <v>311.5</v>
          </cell>
          <cell r="Y352">
            <v>43368</v>
          </cell>
          <cell r="AF352" t="str">
            <v>MATARANI</v>
          </cell>
        </row>
        <row r="353">
          <cell r="C353" t="str">
            <v>MF-053A/18</v>
          </cell>
          <cell r="E353" t="str">
            <v>UREA PERLADA</v>
          </cell>
          <cell r="F353" t="str">
            <v>GAVILON</v>
          </cell>
          <cell r="P353">
            <v>1299.5999999999999</v>
          </cell>
          <cell r="R353" t="str">
            <v>CFR</v>
          </cell>
          <cell r="S353">
            <v>308.5</v>
          </cell>
          <cell r="Y353">
            <v>43346</v>
          </cell>
          <cell r="AF353" t="str">
            <v>PAITA</v>
          </cell>
        </row>
        <row r="354">
          <cell r="C354" t="str">
            <v>MF-053B/18</v>
          </cell>
          <cell r="E354" t="str">
            <v>UREA PERLADA</v>
          </cell>
          <cell r="F354" t="str">
            <v>GAVILON</v>
          </cell>
          <cell r="P354">
            <v>1000</v>
          </cell>
          <cell r="R354" t="str">
            <v>CFR</v>
          </cell>
          <cell r="S354">
            <v>308.5</v>
          </cell>
          <cell r="Y354">
            <v>43348</v>
          </cell>
          <cell r="AF354" t="str">
            <v>SALAVERRY</v>
          </cell>
        </row>
        <row r="355">
          <cell r="C355" t="str">
            <v>MF-053C/18</v>
          </cell>
          <cell r="E355" t="str">
            <v>UREA PERLADA</v>
          </cell>
          <cell r="F355" t="str">
            <v>GAVILON</v>
          </cell>
          <cell r="P355">
            <v>450</v>
          </cell>
          <cell r="R355" t="str">
            <v>CFR</v>
          </cell>
          <cell r="S355">
            <v>308.5</v>
          </cell>
          <cell r="Y355">
            <v>43364</v>
          </cell>
          <cell r="AF355" t="str">
            <v>CALLAO</v>
          </cell>
        </row>
        <row r="356">
          <cell r="C356" t="str">
            <v>MF-054/18</v>
          </cell>
          <cell r="E356" t="str">
            <v>NITRATO DE MAGNESIO HEXAHIDRATADO</v>
          </cell>
          <cell r="F356" t="str">
            <v xml:space="preserve">EXPAN CHEMICALS NV </v>
          </cell>
          <cell r="P356">
            <v>200</v>
          </cell>
          <cell r="R356" t="str">
            <v>CFR</v>
          </cell>
          <cell r="S356">
            <v>283</v>
          </cell>
          <cell r="Y356">
            <v>43423</v>
          </cell>
          <cell r="AF356" t="str">
            <v>CALLAO</v>
          </cell>
        </row>
        <row r="357">
          <cell r="C357" t="str">
            <v>MF-055/18</v>
          </cell>
          <cell r="E357" t="str">
            <v xml:space="preserve">SULFATO DE MAGNESIO HEPTAHIDRATADO </v>
          </cell>
          <cell r="F357" t="str">
            <v>STAR GRACE MINING CO.,LTD</v>
          </cell>
          <cell r="P357">
            <v>399</v>
          </cell>
          <cell r="R357" t="str">
            <v>CFR</v>
          </cell>
          <cell r="S357">
            <v>150.6</v>
          </cell>
          <cell r="Y357">
            <v>43390</v>
          </cell>
          <cell r="AF357" t="str">
            <v>PAITA</v>
          </cell>
        </row>
        <row r="358">
          <cell r="C358" t="str">
            <v>MF-056/18</v>
          </cell>
          <cell r="E358" t="str">
            <v>NITRATO DE MAGNESIO HEXAHIDRATADO</v>
          </cell>
          <cell r="F358" t="str">
            <v>JM FERTILIZER</v>
          </cell>
          <cell r="P358">
            <v>113.6</v>
          </cell>
          <cell r="R358" t="str">
            <v>CFR</v>
          </cell>
          <cell r="S358">
            <v>300</v>
          </cell>
          <cell r="Y358">
            <v>43425</v>
          </cell>
          <cell r="AF358" t="str">
            <v>PAITA</v>
          </cell>
        </row>
        <row r="359">
          <cell r="C359" t="str">
            <v>MF-057A/18</v>
          </cell>
          <cell r="E359" t="str">
            <v>UREA GRANULADA</v>
          </cell>
          <cell r="F359" t="str">
            <v>PHOSAGRO</v>
          </cell>
          <cell r="P359">
            <v>700</v>
          </cell>
          <cell r="R359" t="str">
            <v>CFR</v>
          </cell>
          <cell r="S359">
            <v>305.5</v>
          </cell>
          <cell r="Y359">
            <v>43363</v>
          </cell>
          <cell r="AF359" t="str">
            <v>PAITA</v>
          </cell>
        </row>
        <row r="360">
          <cell r="C360" t="str">
            <v>MF-057B/18</v>
          </cell>
          <cell r="E360" t="str">
            <v>UREA GRANULADA</v>
          </cell>
          <cell r="F360" t="str">
            <v>PHOSAGRO</v>
          </cell>
          <cell r="P360">
            <v>900</v>
          </cell>
          <cell r="R360" t="str">
            <v>CFR</v>
          </cell>
          <cell r="S360">
            <v>305.5</v>
          </cell>
          <cell r="Y360">
            <v>43366</v>
          </cell>
          <cell r="AF360" t="str">
            <v>SALAVERRY</v>
          </cell>
        </row>
        <row r="361">
          <cell r="C361" t="str">
            <v>MF-057C/18</v>
          </cell>
          <cell r="E361" t="str">
            <v>UREA GRANULADA</v>
          </cell>
          <cell r="F361" t="str">
            <v>PHOSAGRO</v>
          </cell>
          <cell r="P361">
            <v>500</v>
          </cell>
          <cell r="R361" t="str">
            <v>CFR</v>
          </cell>
          <cell r="S361">
            <v>305.5</v>
          </cell>
          <cell r="Y361">
            <v>43371</v>
          </cell>
          <cell r="AF361" t="str">
            <v>CALLAO</v>
          </cell>
        </row>
        <row r="362">
          <cell r="C362" t="str">
            <v>MF-057D/18</v>
          </cell>
          <cell r="E362" t="str">
            <v>UREA GRANULADA</v>
          </cell>
          <cell r="F362" t="str">
            <v>PHOSAGRO</v>
          </cell>
          <cell r="P362">
            <v>805.65</v>
          </cell>
          <cell r="R362" t="str">
            <v>CFR</v>
          </cell>
          <cell r="S362">
            <v>305.5</v>
          </cell>
          <cell r="Y362">
            <v>43375</v>
          </cell>
          <cell r="AF362" t="str">
            <v>MATARANI</v>
          </cell>
        </row>
        <row r="363">
          <cell r="C363" t="str">
            <v>MF-058A/18</v>
          </cell>
          <cell r="E363" t="str">
            <v>UREA PERLADA</v>
          </cell>
          <cell r="F363" t="str">
            <v>PHOSAGRO</v>
          </cell>
          <cell r="P363">
            <v>1550</v>
          </cell>
          <cell r="R363" t="str">
            <v>CFR</v>
          </cell>
          <cell r="S363">
            <v>295.5</v>
          </cell>
          <cell r="Y363">
            <v>43363</v>
          </cell>
          <cell r="AF363" t="str">
            <v>PAITA</v>
          </cell>
        </row>
        <row r="364">
          <cell r="C364" t="str">
            <v>MF-058B/18</v>
          </cell>
          <cell r="E364" t="str">
            <v>UREA PERLADA</v>
          </cell>
          <cell r="F364" t="str">
            <v>PHOSAGRO</v>
          </cell>
          <cell r="P364">
            <v>2200</v>
          </cell>
          <cell r="R364" t="str">
            <v>CFR</v>
          </cell>
          <cell r="S364">
            <v>295.5</v>
          </cell>
          <cell r="Y364">
            <v>43366</v>
          </cell>
          <cell r="AF364" t="str">
            <v>SALAVERRY</v>
          </cell>
        </row>
        <row r="365">
          <cell r="C365" t="str">
            <v>MF-058C/18</v>
          </cell>
          <cell r="E365" t="str">
            <v>UREA PERLADA</v>
          </cell>
          <cell r="F365" t="str">
            <v>PHOSAGRO</v>
          </cell>
          <cell r="P365">
            <v>2000</v>
          </cell>
          <cell r="R365" t="str">
            <v>CFR</v>
          </cell>
          <cell r="S365">
            <v>295.5</v>
          </cell>
          <cell r="Y365">
            <v>43371</v>
          </cell>
          <cell r="AF365" t="str">
            <v>CALLAO</v>
          </cell>
        </row>
        <row r="366">
          <cell r="C366" t="str">
            <v>MF-058D/18</v>
          </cell>
          <cell r="E366" t="str">
            <v>UREA PERLADA</v>
          </cell>
          <cell r="F366" t="str">
            <v>PHOSAGRO</v>
          </cell>
          <cell r="P366">
            <v>200</v>
          </cell>
          <cell r="R366" t="str">
            <v>CFR</v>
          </cell>
          <cell r="S366">
            <v>295.5</v>
          </cell>
          <cell r="Y366">
            <v>43373</v>
          </cell>
          <cell r="AF366" t="str">
            <v>PISCO</v>
          </cell>
        </row>
        <row r="367">
          <cell r="C367" t="str">
            <v>MF-058E/18</v>
          </cell>
          <cell r="E367" t="str">
            <v>UREA PERLADA</v>
          </cell>
          <cell r="F367" t="str">
            <v>PHOSAGRO</v>
          </cell>
          <cell r="P367">
            <v>885</v>
          </cell>
          <cell r="R367" t="str">
            <v>CFR</v>
          </cell>
          <cell r="S367">
            <v>295.5</v>
          </cell>
          <cell r="Y367">
            <v>43375</v>
          </cell>
          <cell r="AF367" t="str">
            <v>MATARANI</v>
          </cell>
        </row>
        <row r="368">
          <cell r="C368" t="str">
            <v>MF-059A/18</v>
          </cell>
          <cell r="E368" t="str">
            <v>ÁCIDO FOSFÓRICO</v>
          </cell>
          <cell r="F368" t="str">
            <v>NITRON GROUP CORPORATION</v>
          </cell>
          <cell r="P368">
            <v>505.4</v>
          </cell>
          <cell r="R368" t="str">
            <v>CFR</v>
          </cell>
          <cell r="S368">
            <v>860</v>
          </cell>
          <cell r="Y368">
            <v>43400</v>
          </cell>
          <cell r="AF368" t="str">
            <v>CALLAO</v>
          </cell>
        </row>
        <row r="369">
          <cell r="C369" t="str">
            <v>MF-059B/18</v>
          </cell>
          <cell r="E369" t="str">
            <v>ÁCIDO FOSFÓRICO</v>
          </cell>
          <cell r="F369" t="str">
            <v>NITRON GROUP CORPORATION</v>
          </cell>
          <cell r="P369">
            <v>505.4</v>
          </cell>
          <cell r="R369" t="str">
            <v>CFR</v>
          </cell>
          <cell r="S369">
            <v>865</v>
          </cell>
          <cell r="Y369">
            <v>43416</v>
          </cell>
          <cell r="AF369" t="str">
            <v>PAITA</v>
          </cell>
        </row>
        <row r="370">
          <cell r="C370" t="str">
            <v>MF-060A/18</v>
          </cell>
          <cell r="E370" t="str">
            <v>ÁCIDO FOSFÓRICO</v>
          </cell>
          <cell r="F370" t="str">
            <v>NITRON GROUP CORPORATION</v>
          </cell>
          <cell r="P370">
            <v>96</v>
          </cell>
          <cell r="R370" t="str">
            <v>CFR</v>
          </cell>
          <cell r="S370">
            <v>877</v>
          </cell>
          <cell r="Y370">
            <v>43406</v>
          </cell>
          <cell r="AF370" t="str">
            <v>CALLAO</v>
          </cell>
        </row>
        <row r="371">
          <cell r="C371" t="str">
            <v>MF-060B/18</v>
          </cell>
          <cell r="E371" t="str">
            <v>ÁCIDO FOSFÓRICO</v>
          </cell>
          <cell r="F371" t="str">
            <v>NITRON GROUP CORPORATION</v>
          </cell>
          <cell r="P371">
            <v>120</v>
          </cell>
          <cell r="R371" t="str">
            <v>CFR</v>
          </cell>
          <cell r="S371">
            <v>887</v>
          </cell>
          <cell r="Y371">
            <v>43402</v>
          </cell>
          <cell r="AF371" t="str">
            <v>PAITA</v>
          </cell>
        </row>
        <row r="372">
          <cell r="C372" t="str">
            <v>MF-061A/18</v>
          </cell>
          <cell r="E372" t="str">
            <v>NITRATO DE POTASIO CRISTALIZADO</v>
          </cell>
          <cell r="F372" t="str">
            <v>KEYTRADE</v>
          </cell>
          <cell r="P372">
            <v>540</v>
          </cell>
          <cell r="R372" t="str">
            <v>CPT</v>
          </cell>
          <cell r="S372">
            <v>776</v>
          </cell>
          <cell r="Y372">
            <v>43451</v>
          </cell>
          <cell r="AF372" t="str">
            <v>CALLAO</v>
          </cell>
        </row>
        <row r="373">
          <cell r="C373" t="str">
            <v>MF-061B/18</v>
          </cell>
          <cell r="E373" t="str">
            <v>NITRATO DE POTASIO CRISTALIZADO</v>
          </cell>
          <cell r="F373" t="str">
            <v>KEYTRADE</v>
          </cell>
          <cell r="P373">
            <v>540</v>
          </cell>
          <cell r="R373" t="str">
            <v>CPT</v>
          </cell>
          <cell r="S373">
            <v>786</v>
          </cell>
          <cell r="Y373">
            <v>43468</v>
          </cell>
          <cell r="AF373" t="str">
            <v>PAITA</v>
          </cell>
        </row>
        <row r="374">
          <cell r="C374" t="str">
            <v>MF-062A1/18</v>
          </cell>
          <cell r="E374" t="str">
            <v>NITRATO DE POTASIO CRISTALIZADO</v>
          </cell>
          <cell r="F374" t="str">
            <v>MITSUI &amp; CO., Ltda</v>
          </cell>
          <cell r="P374">
            <v>54</v>
          </cell>
          <cell r="R374" t="str">
            <v>CFR</v>
          </cell>
          <cell r="S374">
            <v>786</v>
          </cell>
          <cell r="Y374">
            <v>43414</v>
          </cell>
          <cell r="AF374" t="str">
            <v>CALLAO</v>
          </cell>
        </row>
        <row r="375">
          <cell r="C375" t="str">
            <v>MF-062B/18</v>
          </cell>
          <cell r="E375" t="str">
            <v>NITRATO DE POTASIO CRISTALIZADO</v>
          </cell>
          <cell r="F375" t="str">
            <v>MITSUI &amp; CO., Ltda</v>
          </cell>
          <cell r="P375">
            <v>513</v>
          </cell>
          <cell r="R375" t="str">
            <v>CFR</v>
          </cell>
          <cell r="S375">
            <v>796</v>
          </cell>
          <cell r="Y375">
            <v>43423</v>
          </cell>
          <cell r="AF375" t="str">
            <v>PAITA</v>
          </cell>
        </row>
        <row r="376">
          <cell r="C376" t="str">
            <v>MF-062A2/18</v>
          </cell>
          <cell r="E376" t="str">
            <v>NITRATO DE POTASIO CRISTALIZADO</v>
          </cell>
          <cell r="F376" t="str">
            <v>MITSUI &amp; CO., Ltda</v>
          </cell>
          <cell r="P376">
            <v>459</v>
          </cell>
          <cell r="R376" t="str">
            <v>CFR</v>
          </cell>
          <cell r="S376">
            <v>786</v>
          </cell>
          <cell r="Y376">
            <v>43423</v>
          </cell>
          <cell r="AF376" t="str">
            <v>CALLAO</v>
          </cell>
        </row>
        <row r="377">
          <cell r="C377" t="str">
            <v>MF-062B2/18</v>
          </cell>
          <cell r="E377" t="str">
            <v>NITRATO DE POTASIO CRISTALIZADO</v>
          </cell>
          <cell r="F377" t="str">
            <v>MITSUI &amp; CO., Ltda</v>
          </cell>
          <cell r="P377" t="str">
            <v>-</v>
          </cell>
          <cell r="R377">
            <v>0</v>
          </cell>
          <cell r="S377">
            <v>0</v>
          </cell>
          <cell r="Y377">
            <v>0</v>
          </cell>
          <cell r="AF377">
            <v>0</v>
          </cell>
        </row>
        <row r="378">
          <cell r="C378" t="str">
            <v>MF-063A/18</v>
          </cell>
          <cell r="E378" t="str">
            <v>SUPERFOSFATO TRIPLE – TSP X BIGBAG</v>
          </cell>
          <cell r="F378" t="str">
            <v xml:space="preserve">TGO Agriculture (USA) Inc. </v>
          </cell>
          <cell r="P378">
            <v>400.5</v>
          </cell>
          <cell r="R378" t="str">
            <v>CFR</v>
          </cell>
          <cell r="S378">
            <v>362</v>
          </cell>
          <cell r="Y378">
            <v>43397</v>
          </cell>
          <cell r="AF378" t="str">
            <v>PAITA</v>
          </cell>
        </row>
        <row r="379">
          <cell r="C379" t="str">
            <v>MF-063B/18</v>
          </cell>
          <cell r="E379" t="str">
            <v>SUPERFOSFATO TRIPLE – TSP X BIGBAG</v>
          </cell>
          <cell r="F379" t="str">
            <v xml:space="preserve">TGO Agriculture (USA) Inc. </v>
          </cell>
          <cell r="P379">
            <v>150</v>
          </cell>
          <cell r="R379" t="str">
            <v>CFR</v>
          </cell>
          <cell r="S379">
            <v>362</v>
          </cell>
          <cell r="Y379">
            <v>43400</v>
          </cell>
          <cell r="AF379" t="str">
            <v>SALAVERRY</v>
          </cell>
        </row>
        <row r="380">
          <cell r="C380" t="str">
            <v>MF-063C/18</v>
          </cell>
          <cell r="E380" t="str">
            <v>SUPERFOSFATO TRIPLE – TSP X BIGBAG</v>
          </cell>
          <cell r="F380" t="str">
            <v xml:space="preserve">TGO Agriculture (USA) Inc. </v>
          </cell>
          <cell r="P380">
            <v>300</v>
          </cell>
          <cell r="R380" t="str">
            <v>CFR</v>
          </cell>
          <cell r="S380">
            <v>362</v>
          </cell>
          <cell r="Y380">
            <v>43403</v>
          </cell>
          <cell r="AF380" t="str">
            <v>CALLAO</v>
          </cell>
        </row>
        <row r="381">
          <cell r="C381" t="str">
            <v>MF-063D/18</v>
          </cell>
          <cell r="E381" t="str">
            <v>SUPERFOSFATO TRIPLE – TSP X BIGBAG</v>
          </cell>
          <cell r="F381" t="str">
            <v xml:space="preserve">TGO Agriculture (USA) Inc. </v>
          </cell>
          <cell r="P381">
            <v>150</v>
          </cell>
          <cell r="R381" t="str">
            <v>CFR</v>
          </cell>
          <cell r="S381">
            <v>362</v>
          </cell>
          <cell r="Y381">
            <v>43416</v>
          </cell>
          <cell r="AF381" t="str">
            <v>MATARANI</v>
          </cell>
        </row>
        <row r="382">
          <cell r="C382" t="str">
            <v>MF-064/18</v>
          </cell>
          <cell r="E382" t="str">
            <v>UREA ADBLUE (BIG BAG)</v>
          </cell>
          <cell r="F382" t="str">
            <v>PHOSAGRO</v>
          </cell>
          <cell r="P382">
            <v>172.8</v>
          </cell>
          <cell r="R382" t="str">
            <v>CFR</v>
          </cell>
          <cell r="S382">
            <v>360</v>
          </cell>
          <cell r="Y382">
            <v>43441</v>
          </cell>
          <cell r="AF382" t="str">
            <v>CALLAO</v>
          </cell>
        </row>
        <row r="383">
          <cell r="C383" t="str">
            <v>MF-065A/18</v>
          </cell>
          <cell r="E383" t="str">
            <v>NITRATO DE MAGNESIO HEXAHIDRATADO</v>
          </cell>
          <cell r="F383" t="str">
            <v>AMEROPA</v>
          </cell>
          <cell r="P383">
            <v>130</v>
          </cell>
          <cell r="R383" t="str">
            <v>CFR</v>
          </cell>
          <cell r="S383">
            <v>283</v>
          </cell>
          <cell r="Y383">
            <v>43443</v>
          </cell>
          <cell r="AF383" t="str">
            <v>CALLAO</v>
          </cell>
        </row>
        <row r="384">
          <cell r="C384" t="str">
            <v>MF-065B/18</v>
          </cell>
          <cell r="E384" t="str">
            <v>NITRATO DE MAGNESIO HEXAHIDRATADO</v>
          </cell>
          <cell r="F384" t="str">
            <v>AMEROPA</v>
          </cell>
          <cell r="P384">
            <v>76</v>
          </cell>
          <cell r="R384" t="str">
            <v>CFR</v>
          </cell>
          <cell r="S384">
            <v>285</v>
          </cell>
          <cell r="Y384">
            <v>43439</v>
          </cell>
          <cell r="AF384" t="str">
            <v>PAITA</v>
          </cell>
        </row>
        <row r="385">
          <cell r="C385" t="str">
            <v>MF-066/18</v>
          </cell>
          <cell r="E385" t="str">
            <v>NITRATO DE CALCIO PREMIUM</v>
          </cell>
          <cell r="F385" t="str">
            <v>URALCHEM</v>
          </cell>
          <cell r="P385">
            <v>72</v>
          </cell>
          <cell r="R385" t="str">
            <v>CFR</v>
          </cell>
          <cell r="S385">
            <v>331</v>
          </cell>
          <cell r="Y385">
            <v>43441</v>
          </cell>
          <cell r="AF385" t="str">
            <v>PAITA</v>
          </cell>
        </row>
        <row r="386">
          <cell r="C386" t="str">
            <v>MF-067/18</v>
          </cell>
          <cell r="E386" t="str">
            <v>NITRATO DE CALCIO PREMIUM</v>
          </cell>
          <cell r="F386" t="str">
            <v>URALCHEM</v>
          </cell>
          <cell r="P386">
            <v>96</v>
          </cell>
          <cell r="R386" t="str">
            <v>CFR</v>
          </cell>
          <cell r="S386">
            <v>331</v>
          </cell>
          <cell r="Y386">
            <v>43461</v>
          </cell>
          <cell r="AF386" t="str">
            <v>PAITA</v>
          </cell>
        </row>
        <row r="387">
          <cell r="C387" t="str">
            <v>MF-068/18</v>
          </cell>
          <cell r="E387" t="str">
            <v>CLORURO DE POTASIO BLANCO ESTANDAR</v>
          </cell>
          <cell r="F387" t="str">
            <v>CANPOTEX</v>
          </cell>
          <cell r="P387">
            <v>2970</v>
          </cell>
          <cell r="R387" t="str">
            <v>CFR</v>
          </cell>
          <cell r="S387">
            <v>309.5</v>
          </cell>
          <cell r="Y387">
            <v>43431</v>
          </cell>
          <cell r="AF387" t="str">
            <v>PAITA</v>
          </cell>
        </row>
        <row r="388">
          <cell r="C388" t="str">
            <v>MF-069/18</v>
          </cell>
          <cell r="E388" t="str">
            <v>NITRATO DE CALCIO PREMIUM</v>
          </cell>
          <cell r="F388" t="str">
            <v>URALCHEM</v>
          </cell>
          <cell r="P388">
            <v>192</v>
          </cell>
          <cell r="R388" t="str">
            <v>CFR</v>
          </cell>
          <cell r="S388">
            <v>377</v>
          </cell>
          <cell r="Y388">
            <v>43445</v>
          </cell>
          <cell r="AF388" t="str">
            <v>CALLAO</v>
          </cell>
        </row>
        <row r="389">
          <cell r="C389" t="str">
            <v>MF-070/18</v>
          </cell>
          <cell r="E389" t="str">
            <v>NITRATO DE CALCIO PREMIUM</v>
          </cell>
          <cell r="F389" t="str">
            <v>URALCHEM</v>
          </cell>
          <cell r="P389">
            <v>192</v>
          </cell>
          <cell r="R389" t="str">
            <v>CFR</v>
          </cell>
          <cell r="S389">
            <v>387</v>
          </cell>
          <cell r="Y389">
            <v>43437</v>
          </cell>
          <cell r="AF389" t="str">
            <v>PAITA</v>
          </cell>
        </row>
        <row r="390">
          <cell r="C390" t="str">
            <v>MF-071/18</v>
          </cell>
          <cell r="E390" t="str">
            <v>SAL DOBLE DE NITRATO DE CALCIO Y AMONIO</v>
          </cell>
          <cell r="F390" t="str">
            <v>KEYTRADE</v>
          </cell>
          <cell r="P390">
            <v>1080</v>
          </cell>
          <cell r="R390" t="str">
            <v>CFR</v>
          </cell>
          <cell r="S390">
            <v>259</v>
          </cell>
          <cell r="Y390">
            <v>43444</v>
          </cell>
          <cell r="AF390" t="str">
            <v>CALLAO</v>
          </cell>
        </row>
        <row r="391">
          <cell r="C391" t="str">
            <v>MF-072A1/18</v>
          </cell>
          <cell r="E391" t="str">
            <v>SULFATO DE POTASIO SOLUBLE</v>
          </cell>
          <cell r="F391" t="str">
            <v>KEYTRADE</v>
          </cell>
          <cell r="P391">
            <v>750</v>
          </cell>
          <cell r="R391" t="str">
            <v>CFR</v>
          </cell>
          <cell r="S391">
            <v>548.76</v>
          </cell>
          <cell r="Y391">
            <v>43462</v>
          </cell>
          <cell r="AF391" t="str">
            <v>PAITA</v>
          </cell>
        </row>
        <row r="392">
          <cell r="C392" t="str">
            <v>MF-072A2/18</v>
          </cell>
          <cell r="E392" t="str">
            <v>SULFATO DE POTASIO SOLUBLE</v>
          </cell>
          <cell r="F392" t="str">
            <v>KEYTRADE</v>
          </cell>
          <cell r="P392">
            <v>250</v>
          </cell>
          <cell r="R392" t="str">
            <v>CFR</v>
          </cell>
          <cell r="S392">
            <v>548.76</v>
          </cell>
          <cell r="Y392">
            <v>43461</v>
          </cell>
          <cell r="AF392" t="str">
            <v>PAITA</v>
          </cell>
        </row>
        <row r="393">
          <cell r="C393" t="str">
            <v>MF-073A1/18</v>
          </cell>
          <cell r="E393" t="str">
            <v>NITRATO DE CALCIO</v>
          </cell>
          <cell r="F393" t="str">
            <v xml:space="preserve">HELIOPOTASSE SA  </v>
          </cell>
          <cell r="P393">
            <v>504</v>
          </cell>
          <cell r="R393" t="str">
            <v>CIF</v>
          </cell>
          <cell r="S393">
            <v>260</v>
          </cell>
          <cell r="Y393">
            <v>43460</v>
          </cell>
          <cell r="AF393" t="str">
            <v>PAITA</v>
          </cell>
        </row>
        <row r="394">
          <cell r="C394" t="str">
            <v>MF-073A2/18</v>
          </cell>
          <cell r="E394" t="str">
            <v>NITRATO DE CALCIO</v>
          </cell>
          <cell r="F394" t="str">
            <v xml:space="preserve">HELIOPOTASSE SA  </v>
          </cell>
          <cell r="P394">
            <v>504</v>
          </cell>
          <cell r="R394" t="str">
            <v>CIF</v>
          </cell>
          <cell r="S394">
            <v>260</v>
          </cell>
          <cell r="Y394">
            <v>43488</v>
          </cell>
          <cell r="AF394" t="str">
            <v>PAITA</v>
          </cell>
        </row>
        <row r="395">
          <cell r="C395" t="str">
            <v>MF-074/18</v>
          </cell>
          <cell r="E395" t="str">
            <v>MEZCLADORA</v>
          </cell>
          <cell r="F395" t="str">
            <v>DOYLE EQUIPMENT MANUFACTURING CO</v>
          </cell>
          <cell r="P395">
            <v>1</v>
          </cell>
          <cell r="R395" t="str">
            <v>CFR</v>
          </cell>
          <cell r="S395">
            <v>65945</v>
          </cell>
          <cell r="Y395">
            <v>43459</v>
          </cell>
          <cell r="AF395" t="str">
            <v>PAITA</v>
          </cell>
        </row>
        <row r="396">
          <cell r="C396" t="str">
            <v>MF-075/18</v>
          </cell>
          <cell r="E396" t="str">
            <v>MEZCLADORA</v>
          </cell>
          <cell r="F396" t="str">
            <v>DOYLE EQUIPMENT MANUFACTURING CO</v>
          </cell>
          <cell r="P396">
            <v>1</v>
          </cell>
          <cell r="R396" t="str">
            <v>CFR</v>
          </cell>
          <cell r="S396">
            <v>65195</v>
          </cell>
          <cell r="Y396">
            <v>43443</v>
          </cell>
          <cell r="AF396" t="str">
            <v>CALLAO</v>
          </cell>
        </row>
        <row r="397">
          <cell r="C397" t="str">
            <v>MF-076/18</v>
          </cell>
          <cell r="E397" t="str">
            <v>AGROCOTE 38-3-3</v>
          </cell>
          <cell r="F397" t="str">
            <v>EVERRIS INTERNATIONAL B.V.</v>
          </cell>
          <cell r="P397">
            <v>27.21</v>
          </cell>
          <cell r="R397" t="str">
            <v>CFR</v>
          </cell>
          <cell r="S397">
            <v>1166.8871738331495</v>
          </cell>
          <cell r="Y397">
            <v>43423</v>
          </cell>
          <cell r="AF397" t="str">
            <v>CALLAO</v>
          </cell>
        </row>
        <row r="398">
          <cell r="C398" t="str">
            <v>MF-077/18</v>
          </cell>
          <cell r="E398" t="str">
            <v>NITRATO DE POTASIO CRISTALIZADO</v>
          </cell>
          <cell r="F398" t="str">
            <v>MITSUI &amp; CO., Ltda</v>
          </cell>
          <cell r="P398">
            <v>81</v>
          </cell>
          <cell r="R398" t="str">
            <v>CFR</v>
          </cell>
          <cell r="S398">
            <v>796</v>
          </cell>
          <cell r="Y398">
            <v>43430</v>
          </cell>
          <cell r="AF398" t="str">
            <v>PAITA</v>
          </cell>
        </row>
        <row r="399">
          <cell r="C399" t="str">
            <v>MF-078/18</v>
          </cell>
          <cell r="E399" t="str">
            <v>DURANIT DURASOP X 1TM</v>
          </cell>
          <cell r="F399" t="str">
            <v xml:space="preserve">FERTINAGRO BIOTECH, S.L.        </v>
          </cell>
          <cell r="P399">
            <v>80</v>
          </cell>
          <cell r="R399" t="str">
            <v>CIF</v>
          </cell>
          <cell r="S399">
            <v>480</v>
          </cell>
          <cell r="Y399">
            <v>43418</v>
          </cell>
          <cell r="AF399" t="str">
            <v>CALLAO</v>
          </cell>
        </row>
        <row r="400">
          <cell r="C400" t="str">
            <v>MF-079A/18</v>
          </cell>
          <cell r="E400" t="str">
            <v>NITRATO DE AMONIO</v>
          </cell>
          <cell r="F400" t="str">
            <v>GAVILON</v>
          </cell>
          <cell r="P400">
            <v>300</v>
          </cell>
          <cell r="R400" t="str">
            <v>CFR</v>
          </cell>
          <cell r="S400">
            <v>287</v>
          </cell>
          <cell r="Y400">
            <v>43415</v>
          </cell>
          <cell r="AF400" t="str">
            <v>PAITA</v>
          </cell>
        </row>
        <row r="401">
          <cell r="C401" t="str">
            <v>MF-079B/18</v>
          </cell>
          <cell r="E401" t="str">
            <v>NITRATO DE AMONIO</v>
          </cell>
          <cell r="F401" t="str">
            <v>GAVILON</v>
          </cell>
          <cell r="P401">
            <v>1350</v>
          </cell>
          <cell r="R401" t="str">
            <v>CFR</v>
          </cell>
          <cell r="S401">
            <v>287</v>
          </cell>
          <cell r="Y401">
            <v>43420</v>
          </cell>
          <cell r="AF401" t="str">
            <v>SALAVERRY</v>
          </cell>
        </row>
        <row r="402">
          <cell r="C402" t="str">
            <v>MF-079C/18</v>
          </cell>
          <cell r="E402" t="str">
            <v>NITRATO DE AMONIO</v>
          </cell>
          <cell r="F402" t="str">
            <v>GAVILON</v>
          </cell>
          <cell r="P402">
            <v>500</v>
          </cell>
          <cell r="R402" t="str">
            <v>CFR</v>
          </cell>
          <cell r="S402">
            <v>287</v>
          </cell>
          <cell r="Y402">
            <v>43428</v>
          </cell>
          <cell r="AF402" t="str">
            <v>CALLAO</v>
          </cell>
        </row>
        <row r="403">
          <cell r="C403" t="str">
            <v>MF-079D/18</v>
          </cell>
          <cell r="E403" t="str">
            <v>NITRATO DE AMONIO</v>
          </cell>
          <cell r="F403" t="str">
            <v>GAVILON</v>
          </cell>
          <cell r="P403">
            <v>550</v>
          </cell>
          <cell r="R403" t="str">
            <v>CFR</v>
          </cell>
          <cell r="S403">
            <v>287</v>
          </cell>
          <cell r="Y403">
            <v>43432</v>
          </cell>
          <cell r="AF403" t="str">
            <v>MATARANI</v>
          </cell>
        </row>
        <row r="404">
          <cell r="C404" t="str">
            <v>MF-080A/18</v>
          </cell>
          <cell r="E404" t="str">
            <v>FOSFATO DIAMÓNICO GRANULAR</v>
          </cell>
          <cell r="F404" t="str">
            <v xml:space="preserve">TGO Agriculture (USA) Inc. </v>
          </cell>
          <cell r="P404">
            <v>770</v>
          </cell>
          <cell r="R404" t="str">
            <v>CFR</v>
          </cell>
          <cell r="S404">
            <v>460</v>
          </cell>
          <cell r="Y404">
            <v>43403</v>
          </cell>
          <cell r="AF404" t="str">
            <v>CALLAO</v>
          </cell>
        </row>
        <row r="405">
          <cell r="C405" t="str">
            <v>MF-080B/18</v>
          </cell>
          <cell r="E405" t="str">
            <v>FOSFATO DIAMÓNICO GRANULAR</v>
          </cell>
          <cell r="F405" t="str">
            <v xml:space="preserve">TGO Agriculture (USA) Inc. </v>
          </cell>
          <cell r="P405">
            <v>550</v>
          </cell>
          <cell r="R405" t="str">
            <v>CFR</v>
          </cell>
          <cell r="S405">
            <v>460</v>
          </cell>
          <cell r="Y405">
            <v>43414</v>
          </cell>
          <cell r="AF405" t="str">
            <v>PISCO</v>
          </cell>
        </row>
        <row r="406">
          <cell r="C406" t="str">
            <v>MF-080C/18</v>
          </cell>
          <cell r="E406" t="str">
            <v>FOSFATO DIAMÓNICO GRANULAR</v>
          </cell>
          <cell r="F406" t="str">
            <v xml:space="preserve">TGO Agriculture (USA) Inc. </v>
          </cell>
          <cell r="P406">
            <v>1100</v>
          </cell>
          <cell r="R406" t="str">
            <v>CFR</v>
          </cell>
          <cell r="S406">
            <v>460</v>
          </cell>
          <cell r="Y406">
            <v>43416</v>
          </cell>
          <cell r="AF406" t="str">
            <v>MATARANI</v>
          </cell>
        </row>
        <row r="407">
          <cell r="C407" t="str">
            <v>MF-081A1/18</v>
          </cell>
          <cell r="E407" t="str">
            <v>PEKACID</v>
          </cell>
          <cell r="F407" t="str">
            <v>ROTEM AMFERT NEGEV LTD (NovaPeak)</v>
          </cell>
          <cell r="P407">
            <v>49</v>
          </cell>
          <cell r="R407" t="str">
            <v>CIF</v>
          </cell>
          <cell r="S407">
            <v>1290</v>
          </cell>
          <cell r="Y407">
            <v>43469</v>
          </cell>
          <cell r="AF407" t="str">
            <v>CALLAO</v>
          </cell>
        </row>
        <row r="408">
          <cell r="C408" t="str">
            <v>MF-081A2/18</v>
          </cell>
          <cell r="E408" t="str">
            <v>PEKACID</v>
          </cell>
          <cell r="F408" t="str">
            <v>ROTEM AMFERT NEGEV LTD (NovaPeak)</v>
          </cell>
          <cell r="P408">
            <v>49</v>
          </cell>
          <cell r="R408" t="str">
            <v>CIF</v>
          </cell>
          <cell r="S408">
            <v>1290</v>
          </cell>
          <cell r="Y408">
            <v>43490</v>
          </cell>
          <cell r="AF408" t="str">
            <v>CALLAO</v>
          </cell>
        </row>
        <row r="409">
          <cell r="C409" t="str">
            <v>MF-082A1/18</v>
          </cell>
          <cell r="E409" t="str">
            <v>PEKACID</v>
          </cell>
          <cell r="F409" t="str">
            <v>ROTEM AMFERT NEGEV LTD (NovaPeak)</v>
          </cell>
          <cell r="P409">
            <v>49</v>
          </cell>
          <cell r="R409" t="str">
            <v>CIF</v>
          </cell>
          <cell r="S409">
            <v>1290</v>
          </cell>
          <cell r="Y409">
            <v>43504</v>
          </cell>
          <cell r="AF409" t="str">
            <v>CALLAO</v>
          </cell>
        </row>
        <row r="410">
          <cell r="C410" t="str">
            <v>MF-082A2/18</v>
          </cell>
          <cell r="E410" t="str">
            <v>PEKACID</v>
          </cell>
          <cell r="F410" t="str">
            <v>ROTEM AMFERT NEGEV LTD (NovaPeak)</v>
          </cell>
          <cell r="P410">
            <v>49</v>
          </cell>
          <cell r="R410" t="str">
            <v>CIF</v>
          </cell>
          <cell r="S410">
            <v>1290</v>
          </cell>
          <cell r="Y410">
            <v>43513</v>
          </cell>
          <cell r="AF410" t="str">
            <v>CALLAO</v>
          </cell>
        </row>
        <row r="411">
          <cell r="C411" t="str">
            <v>MF-083/18</v>
          </cell>
          <cell r="E411" t="str">
            <v>CR - MAG BIGBAG</v>
          </cell>
          <cell r="F411" t="str">
            <v>TIMAB</v>
          </cell>
          <cell r="P411">
            <v>28.6</v>
          </cell>
          <cell r="R411" t="str">
            <v>CIF</v>
          </cell>
          <cell r="S411">
            <v>335</v>
          </cell>
          <cell r="Y411">
            <v>43470</v>
          </cell>
          <cell r="AF411" t="str">
            <v>CALLAO</v>
          </cell>
        </row>
        <row r="412">
          <cell r="C412" t="str">
            <v>MF-084A/18</v>
          </cell>
          <cell r="E412" t="str">
            <v>ÁCIDO FOSFÓRICO</v>
          </cell>
          <cell r="F412" t="str">
            <v>NITRON GROUP LLC</v>
          </cell>
          <cell r="P412">
            <v>600</v>
          </cell>
          <cell r="R412" t="str">
            <v>CFR</v>
          </cell>
          <cell r="S412">
            <v>880</v>
          </cell>
          <cell r="Y412">
            <v>43450</v>
          </cell>
          <cell r="AF412" t="str">
            <v>CALLAO</v>
          </cell>
        </row>
        <row r="413">
          <cell r="C413" t="str">
            <v>MF-084B/18</v>
          </cell>
          <cell r="E413" t="str">
            <v>ÁCIDO FOSFÓRICO</v>
          </cell>
          <cell r="F413" t="str">
            <v>NITRON GROUP LLC</v>
          </cell>
          <cell r="P413">
            <v>600</v>
          </cell>
          <cell r="R413" t="str">
            <v>CFR</v>
          </cell>
          <cell r="S413">
            <v>890</v>
          </cell>
          <cell r="Y413">
            <v>43458</v>
          </cell>
          <cell r="AF413" t="str">
            <v>PAITA</v>
          </cell>
        </row>
        <row r="414">
          <cell r="C414" t="str">
            <v>MF-085A/18</v>
          </cell>
          <cell r="E414" t="str">
            <v>SULFATO DE POTASIO SOLUBLE ORG X 25KG - HORTISUL</v>
          </cell>
          <cell r="F414" t="str">
            <v xml:space="preserve">K+S KALI GMBH </v>
          </cell>
          <cell r="P414">
            <v>44</v>
          </cell>
          <cell r="R414" t="str">
            <v>CPT</v>
          </cell>
          <cell r="S414">
            <v>690</v>
          </cell>
          <cell r="Y414">
            <v>43455</v>
          </cell>
          <cell r="AF414" t="str">
            <v>CALLAO</v>
          </cell>
        </row>
        <row r="415">
          <cell r="C415" t="str">
            <v>MF-085B/18</v>
          </cell>
          <cell r="E415" t="str">
            <v>SULFATO DE POTASIO SOLUBLE ORG X 25KG - HORTISUL</v>
          </cell>
          <cell r="F415" t="str">
            <v xml:space="preserve">K+S KALI GMBH </v>
          </cell>
          <cell r="P415">
            <v>44</v>
          </cell>
          <cell r="R415" t="str">
            <v>CPT</v>
          </cell>
          <cell r="S415">
            <v>695</v>
          </cell>
          <cell r="Y415">
            <v>43458</v>
          </cell>
          <cell r="AF415" t="str">
            <v>PAITA</v>
          </cell>
        </row>
        <row r="416">
          <cell r="C416" t="str">
            <v>MF-086/18</v>
          </cell>
          <cell r="E416" t="str">
            <v xml:space="preserve">SULFATO DE MAGNESIO HEPTAHIDRATADO </v>
          </cell>
          <cell r="F416" t="str">
            <v>STAR GRACE MINING CO.,LTD</v>
          </cell>
          <cell r="P416">
            <v>800.4</v>
          </cell>
          <cell r="R416" t="str">
            <v>CFR</v>
          </cell>
          <cell r="S416">
            <v>135</v>
          </cell>
          <cell r="Y416">
            <v>43495</v>
          </cell>
          <cell r="AF416" t="str">
            <v>CALLAO</v>
          </cell>
        </row>
        <row r="417">
          <cell r="C417" t="str">
            <v>MF-087/18</v>
          </cell>
          <cell r="E417" t="str">
            <v xml:space="preserve">SULFATO DE MAGNESIO HEPTAHIDRATADO </v>
          </cell>
          <cell r="F417" t="str">
            <v>STAR GRACE MINING CO.,LTD</v>
          </cell>
          <cell r="P417">
            <v>399</v>
          </cell>
          <cell r="R417" t="str">
            <v>CFR</v>
          </cell>
          <cell r="S417">
            <v>145</v>
          </cell>
          <cell r="Y417">
            <v>43488</v>
          </cell>
          <cell r="AF417" t="str">
            <v>PAITA</v>
          </cell>
        </row>
        <row r="418">
          <cell r="C418" t="str">
            <v>MF-088A/18</v>
          </cell>
          <cell r="E418" t="str">
            <v>UREA GRANULADA</v>
          </cell>
          <cell r="F418" t="str">
            <v>NITRON GROUP LLC</v>
          </cell>
          <cell r="P418">
            <v>200</v>
          </cell>
          <cell r="R418" t="str">
            <v>CFR</v>
          </cell>
          <cell r="S418">
            <v>360</v>
          </cell>
          <cell r="Y418">
            <v>43454</v>
          </cell>
          <cell r="AF418" t="str">
            <v>PAITA</v>
          </cell>
        </row>
        <row r="419">
          <cell r="C419" t="str">
            <v>MF-088B/18</v>
          </cell>
          <cell r="E419" t="str">
            <v>UREA GRANULADA</v>
          </cell>
          <cell r="F419" t="str">
            <v>NITRON GROUP LLC</v>
          </cell>
          <cell r="P419">
            <v>400</v>
          </cell>
          <cell r="R419" t="str">
            <v>CFR</v>
          </cell>
          <cell r="S419">
            <v>360</v>
          </cell>
          <cell r="Y419">
            <v>43458</v>
          </cell>
          <cell r="AF419" t="str">
            <v>CALLAO</v>
          </cell>
        </row>
        <row r="420">
          <cell r="C420" t="str">
            <v>MF-088C/18</v>
          </cell>
          <cell r="E420" t="str">
            <v>UREA GRANULADA</v>
          </cell>
          <cell r="F420" t="str">
            <v>NITRON GROUP LLC</v>
          </cell>
          <cell r="P420">
            <v>600</v>
          </cell>
          <cell r="R420" t="str">
            <v>CFR</v>
          </cell>
          <cell r="S420">
            <v>360</v>
          </cell>
          <cell r="Y420">
            <v>43463</v>
          </cell>
          <cell r="AF420" t="str">
            <v>MATARANI</v>
          </cell>
        </row>
        <row r="421">
          <cell r="C421" t="str">
            <v>MF-089A/18</v>
          </cell>
          <cell r="E421" t="str">
            <v>CLORURO DE POTASIO ROJO GRANULAR</v>
          </cell>
          <cell r="F421" t="str">
            <v>URALKALI</v>
          </cell>
          <cell r="P421">
            <v>400</v>
          </cell>
          <cell r="R421" t="str">
            <v>CFR</v>
          </cell>
          <cell r="S421">
            <v>347.5</v>
          </cell>
          <cell r="Y421">
            <v>43454</v>
          </cell>
          <cell r="AF421" t="str">
            <v>PAITA</v>
          </cell>
        </row>
        <row r="422">
          <cell r="C422" t="str">
            <v>MF-089B/18</v>
          </cell>
          <cell r="E422" t="str">
            <v>CLORURO DE POTASIO ROJO GRANULAR</v>
          </cell>
          <cell r="F422" t="str">
            <v>URALKALI</v>
          </cell>
          <cell r="P422">
            <v>1800</v>
          </cell>
          <cell r="R422" t="str">
            <v>CFR</v>
          </cell>
          <cell r="S422">
            <v>347.5</v>
          </cell>
          <cell r="Y422">
            <v>43461</v>
          </cell>
          <cell r="AF422" t="str">
            <v>CALLAO</v>
          </cell>
        </row>
        <row r="423">
          <cell r="C423" t="str">
            <v>MF-090A/18</v>
          </cell>
          <cell r="E423" t="str">
            <v>SULFATO DE POTASIO GRANULAR</v>
          </cell>
          <cell r="F423" t="str">
            <v xml:space="preserve">K+S KALI GMBH </v>
          </cell>
          <cell r="P423">
            <v>280.08600000000001</v>
          </cell>
          <cell r="R423" t="str">
            <v>CFR</v>
          </cell>
          <cell r="S423">
            <v>535</v>
          </cell>
          <cell r="Y423">
            <v>43455</v>
          </cell>
          <cell r="AF423" t="str">
            <v>CALLAO</v>
          </cell>
        </row>
        <row r="424">
          <cell r="C424" t="str">
            <v>MF-090B/18</v>
          </cell>
          <cell r="E424" t="str">
            <v>SULFATO DE POTASIO GRANULAR</v>
          </cell>
          <cell r="F424" t="str">
            <v xml:space="preserve">K+S KALI GMBH </v>
          </cell>
          <cell r="P424">
            <v>560.11199999999997</v>
          </cell>
          <cell r="R424" t="str">
            <v>CFR</v>
          </cell>
          <cell r="S424">
            <v>540</v>
          </cell>
          <cell r="Y424">
            <v>43458</v>
          </cell>
          <cell r="AF424" t="str">
            <v>PAITA</v>
          </cell>
        </row>
        <row r="425">
          <cell r="C425" t="str">
            <v>MF-091/18</v>
          </cell>
          <cell r="E425" t="str">
            <v>SULFATO DE POTASIO SOLUBLE</v>
          </cell>
          <cell r="F425" t="str">
            <v>INDAGRO</v>
          </cell>
          <cell r="P425">
            <v>294</v>
          </cell>
          <cell r="R425" t="str">
            <v>CFR</v>
          </cell>
          <cell r="S425">
            <v>533</v>
          </cell>
          <cell r="Y425">
            <v>43476</v>
          </cell>
          <cell r="AF425" t="str">
            <v>PAITA</v>
          </cell>
        </row>
        <row r="426">
          <cell r="C426" t="str">
            <v>MF-092A.1/18</v>
          </cell>
          <cell r="E426" t="str">
            <v>SULFATO DE POTASIO SOLUBLE</v>
          </cell>
          <cell r="F426" t="str">
            <v>INDAGRO</v>
          </cell>
          <cell r="P426">
            <v>612.5</v>
          </cell>
          <cell r="R426" t="str">
            <v>CFR</v>
          </cell>
          <cell r="S426">
            <v>533</v>
          </cell>
          <cell r="Y426">
            <v>43526</v>
          </cell>
          <cell r="AF426" t="str">
            <v>PAITA</v>
          </cell>
        </row>
        <row r="427">
          <cell r="C427" t="str">
            <v>MF-092A.2/18</v>
          </cell>
          <cell r="E427" t="str">
            <v>SULFATO DE POTASIO SOLUBLE</v>
          </cell>
          <cell r="F427" t="str">
            <v>INDAGRO</v>
          </cell>
          <cell r="P427">
            <v>294</v>
          </cell>
          <cell r="R427" t="str">
            <v>CFR</v>
          </cell>
          <cell r="S427">
            <v>533</v>
          </cell>
          <cell r="Y427">
            <v>43518</v>
          </cell>
          <cell r="AF427" t="str">
            <v>PAITA</v>
          </cell>
        </row>
        <row r="428">
          <cell r="C428" t="str">
            <v>MF-092A.3/18</v>
          </cell>
          <cell r="E428" t="str">
            <v>SULFATO DE POTASIO SOLUBLE</v>
          </cell>
          <cell r="F428" t="str">
            <v>INDAGRO</v>
          </cell>
          <cell r="P428">
            <v>196</v>
          </cell>
          <cell r="R428" t="str">
            <v>CFR</v>
          </cell>
          <cell r="S428">
            <v>533</v>
          </cell>
          <cell r="Y428">
            <v>43526</v>
          </cell>
          <cell r="AF428" t="str">
            <v>PAITA</v>
          </cell>
        </row>
        <row r="429">
          <cell r="C429" t="str">
            <v>MF-092B/18</v>
          </cell>
          <cell r="E429" t="str">
            <v>SULFATO DE POTASIO SOLUBLE</v>
          </cell>
          <cell r="F429" t="str">
            <v>INDAGRO</v>
          </cell>
          <cell r="P429">
            <v>98</v>
          </cell>
          <cell r="R429" t="str">
            <v>CFR</v>
          </cell>
          <cell r="S429">
            <v>568</v>
          </cell>
          <cell r="Y429">
            <v>43567</v>
          </cell>
          <cell r="AF429" t="str">
            <v>MATARANI</v>
          </cell>
        </row>
        <row r="430">
          <cell r="C430" t="str">
            <v>MF-093A/18</v>
          </cell>
          <cell r="E430" t="str">
            <v>SULFATO DE POTASIO SOLUBLE</v>
          </cell>
          <cell r="F430" t="str">
            <v>INDAGRO</v>
          </cell>
          <cell r="P430">
            <v>196</v>
          </cell>
          <cell r="R430" t="str">
            <v>CFR</v>
          </cell>
          <cell r="S430">
            <v>533</v>
          </cell>
          <cell r="Y430">
            <v>43498</v>
          </cell>
          <cell r="AF430" t="str">
            <v>PAITA</v>
          </cell>
        </row>
        <row r="431">
          <cell r="C431" t="str">
            <v>MF-093B/18</v>
          </cell>
          <cell r="E431" t="str">
            <v>SULFATO DE POTASIO SOLUBLE</v>
          </cell>
          <cell r="F431" t="str">
            <v>INDAGRO</v>
          </cell>
          <cell r="P431">
            <v>294</v>
          </cell>
          <cell r="R431" t="str">
            <v>CFR</v>
          </cell>
          <cell r="S431">
            <v>533</v>
          </cell>
          <cell r="Y431">
            <v>43524</v>
          </cell>
          <cell r="AF431" t="str">
            <v>CALLAO</v>
          </cell>
        </row>
        <row r="432">
          <cell r="C432" t="str">
            <v>MF-094A/18</v>
          </cell>
          <cell r="E432" t="str">
            <v>UREA PERLADA</v>
          </cell>
          <cell r="F432" t="str">
            <v>URALCHEM</v>
          </cell>
          <cell r="P432">
            <v>700</v>
          </cell>
          <cell r="R432" t="str">
            <v>CFR</v>
          </cell>
          <cell r="S432">
            <v>361.5</v>
          </cell>
          <cell r="Y432">
            <v>43454</v>
          </cell>
          <cell r="AF432" t="str">
            <v>PAITA</v>
          </cell>
        </row>
        <row r="433">
          <cell r="C433" t="str">
            <v>MF-094B/18</v>
          </cell>
          <cell r="E433" t="str">
            <v>UREA PERLADA</v>
          </cell>
          <cell r="F433" t="str">
            <v>URALCHEM</v>
          </cell>
          <cell r="P433">
            <v>2104</v>
          </cell>
          <cell r="R433" t="str">
            <v>CFR</v>
          </cell>
          <cell r="S433">
            <v>361.5</v>
          </cell>
          <cell r="Y433">
            <v>43461</v>
          </cell>
          <cell r="AF433" t="str">
            <v>CALLAO</v>
          </cell>
        </row>
        <row r="434">
          <cell r="C434" t="str">
            <v>MF-094C/18</v>
          </cell>
          <cell r="E434" t="str">
            <v>UREA PERLADA</v>
          </cell>
          <cell r="F434" t="str">
            <v>URALCHEM</v>
          </cell>
          <cell r="P434">
            <v>500</v>
          </cell>
          <cell r="R434" t="str">
            <v>CFR</v>
          </cell>
          <cell r="S434">
            <v>361.5</v>
          </cell>
          <cell r="Y434">
            <v>43465</v>
          </cell>
          <cell r="AF434" t="str">
            <v>MATARANI</v>
          </cell>
        </row>
        <row r="435">
          <cell r="C435" t="str">
            <v>MF-095A/18</v>
          </cell>
          <cell r="E435" t="str">
            <v>NITRATO DE AMONIO</v>
          </cell>
          <cell r="F435" t="str">
            <v>URALCHEM</v>
          </cell>
          <cell r="P435">
            <v>1000</v>
          </cell>
          <cell r="R435" t="str">
            <v>CFR</v>
          </cell>
          <cell r="S435">
            <v>266.5</v>
          </cell>
          <cell r="Y435">
            <v>43454</v>
          </cell>
          <cell r="AF435" t="str">
            <v>PAITA</v>
          </cell>
        </row>
        <row r="436">
          <cell r="C436" t="str">
            <v>MF-095B/18</v>
          </cell>
          <cell r="E436" t="str">
            <v>NITRATO DE AMONIO</v>
          </cell>
          <cell r="F436" t="str">
            <v>URALCHEM</v>
          </cell>
          <cell r="P436">
            <v>2340.65</v>
          </cell>
          <cell r="R436" t="str">
            <v>CFR</v>
          </cell>
          <cell r="S436">
            <v>266.5</v>
          </cell>
          <cell r="Y436">
            <v>43456</v>
          </cell>
          <cell r="AF436" t="str">
            <v>SALAVERRY</v>
          </cell>
        </row>
        <row r="437">
          <cell r="C437" t="str">
            <v>MF-095C/18</v>
          </cell>
          <cell r="E437" t="str">
            <v>NITRATO DE AMONIO</v>
          </cell>
          <cell r="F437" t="str">
            <v>URALCHEM</v>
          </cell>
          <cell r="P437">
            <v>1600</v>
          </cell>
          <cell r="R437" t="str">
            <v>CFR</v>
          </cell>
          <cell r="S437">
            <v>266.5</v>
          </cell>
          <cell r="Y437">
            <v>43461</v>
          </cell>
          <cell r="AF437" t="str">
            <v>CALLAO</v>
          </cell>
        </row>
        <row r="438">
          <cell r="C438" t="str">
            <v>MF-095D1/18</v>
          </cell>
          <cell r="E438" t="str">
            <v>NITRATO DE AMONIO</v>
          </cell>
          <cell r="F438" t="str">
            <v>URALCHEM</v>
          </cell>
          <cell r="P438">
            <v>400</v>
          </cell>
          <cell r="R438" t="str">
            <v>CFR</v>
          </cell>
          <cell r="S438">
            <v>266.5</v>
          </cell>
          <cell r="Y438">
            <v>43461</v>
          </cell>
          <cell r="AF438" t="str">
            <v>CALLAO</v>
          </cell>
        </row>
        <row r="439">
          <cell r="C439" t="str">
            <v>MF-095D2/18</v>
          </cell>
          <cell r="E439" t="str">
            <v>NITRATO DE AMONIO</v>
          </cell>
          <cell r="F439" t="str">
            <v>URALCHEM</v>
          </cell>
          <cell r="P439">
            <v>500</v>
          </cell>
          <cell r="R439" t="str">
            <v>CFR</v>
          </cell>
          <cell r="S439">
            <v>266.5</v>
          </cell>
          <cell r="Y439">
            <v>43465</v>
          </cell>
          <cell r="AF439" t="str">
            <v>MATARANI</v>
          </cell>
        </row>
        <row r="440">
          <cell r="C440" t="str">
            <v>MF-095E/18</v>
          </cell>
          <cell r="E440" t="str">
            <v>NITRATO DE AMONIO</v>
          </cell>
          <cell r="F440" t="str">
            <v>URALCHEM</v>
          </cell>
          <cell r="P440">
            <v>700</v>
          </cell>
          <cell r="R440" t="str">
            <v>CFR</v>
          </cell>
          <cell r="S440">
            <v>266.5</v>
          </cell>
          <cell r="Y440">
            <v>43465</v>
          </cell>
          <cell r="AF440" t="str">
            <v>MATARANI</v>
          </cell>
        </row>
        <row r="441">
          <cell r="C441" t="str">
            <v>MF-096A/18</v>
          </cell>
          <cell r="E441" t="str">
            <v>NITRATO DE CALCIO PREMIUM</v>
          </cell>
          <cell r="F441" t="str">
            <v>URALCHEM</v>
          </cell>
          <cell r="P441">
            <v>240</v>
          </cell>
          <cell r="R441" t="str">
            <v>CFR</v>
          </cell>
          <cell r="S441">
            <v>377</v>
          </cell>
          <cell r="Y441">
            <v>43497</v>
          </cell>
          <cell r="AF441" t="str">
            <v>CALLAO</v>
          </cell>
        </row>
        <row r="442">
          <cell r="C442" t="str">
            <v>MF-096B/18</v>
          </cell>
          <cell r="E442" t="str">
            <v>NITRATO DE CALCIO PREMIUM</v>
          </cell>
          <cell r="F442" t="str">
            <v>URALCHEM</v>
          </cell>
          <cell r="P442">
            <v>264</v>
          </cell>
          <cell r="R442" t="str">
            <v>CFR</v>
          </cell>
          <cell r="S442">
            <v>387</v>
          </cell>
          <cell r="Y442">
            <v>43500</v>
          </cell>
          <cell r="AF442" t="str">
            <v>PAITA</v>
          </cell>
        </row>
        <row r="443">
          <cell r="C443" t="str">
            <v>MF-097/18</v>
          </cell>
          <cell r="E443" t="str">
            <v>MICROELEMENTO SFERA 1 - 50KG</v>
          </cell>
          <cell r="F443" t="str">
            <v>MANTTRA AMERICAS</v>
          </cell>
          <cell r="P443">
            <v>26</v>
          </cell>
          <cell r="R443" t="str">
            <v>CFR</v>
          </cell>
          <cell r="S443">
            <v>330</v>
          </cell>
          <cell r="Y443">
            <v>43435</v>
          </cell>
          <cell r="AF443" t="str">
            <v>CALLAO</v>
          </cell>
        </row>
        <row r="444">
          <cell r="C444" t="str">
            <v>MF-098/18</v>
          </cell>
          <cell r="E444" t="str">
            <v>MICROELEMENTO SFERA 4 - 50KG</v>
          </cell>
          <cell r="F444" t="str">
            <v>MANTTRA AMERICAS</v>
          </cell>
          <cell r="P444">
            <v>26</v>
          </cell>
          <cell r="R444" t="str">
            <v>CFR</v>
          </cell>
          <cell r="S444">
            <v>280</v>
          </cell>
          <cell r="Y444">
            <v>43435</v>
          </cell>
          <cell r="AF444" t="str">
            <v>CALLAO</v>
          </cell>
        </row>
        <row r="445">
          <cell r="C445" t="str">
            <v>MF-099/18</v>
          </cell>
          <cell r="E445" t="str">
            <v>FOSFATO MONOPOTASICO (MKP) X BIGBAG</v>
          </cell>
          <cell r="F445" t="str">
            <v>ROTEM AMFERT NEGEV LTD (NovaPeak)</v>
          </cell>
          <cell r="P445">
            <v>48</v>
          </cell>
          <cell r="R445" t="str">
            <v>CIF</v>
          </cell>
          <cell r="S445">
            <v>1180</v>
          </cell>
          <cell r="Y445">
            <v>43513</v>
          </cell>
          <cell r="AF445" t="str">
            <v>CALLAO</v>
          </cell>
        </row>
        <row r="446">
          <cell r="C446" t="str">
            <v>MF-100A/18</v>
          </cell>
          <cell r="E446" t="str">
            <v>FOSFATO MONOAMÓNICO GRANULAR</v>
          </cell>
          <cell r="F446" t="str">
            <v>NITRON GROUP LLC</v>
          </cell>
          <cell r="P446">
            <v>1530</v>
          </cell>
          <cell r="R446" t="str">
            <v>CFR</v>
          </cell>
          <cell r="S446">
            <v>455</v>
          </cell>
          <cell r="Y446">
            <v>43463</v>
          </cell>
          <cell r="AF446" t="str">
            <v>SALAVERRY</v>
          </cell>
        </row>
        <row r="447">
          <cell r="C447" t="str">
            <v>MF-100B/18</v>
          </cell>
          <cell r="E447" t="str">
            <v>FOSFATO MONOAMÓNICO GRANULAR</v>
          </cell>
          <cell r="F447" t="str">
            <v>NITRON GROUP LLC</v>
          </cell>
          <cell r="P447">
            <v>430</v>
          </cell>
          <cell r="R447" t="str">
            <v>CFR</v>
          </cell>
          <cell r="S447">
            <v>455</v>
          </cell>
          <cell r="Y447">
            <v>43464</v>
          </cell>
          <cell r="AF447" t="str">
            <v>CALLAO</v>
          </cell>
        </row>
        <row r="448">
          <cell r="C448" t="str">
            <v>MF-100C/18</v>
          </cell>
          <cell r="E448" t="str">
            <v>FOSFATO MONOAMÓNICO GRANULAR</v>
          </cell>
          <cell r="F448" t="str">
            <v>NITRON GROUP LLC</v>
          </cell>
          <cell r="P448">
            <v>220</v>
          </cell>
          <cell r="R448" t="str">
            <v>CFR</v>
          </cell>
          <cell r="S448">
            <v>455</v>
          </cell>
          <cell r="Y448">
            <v>43466</v>
          </cell>
          <cell r="AF448" t="str">
            <v>PISCO</v>
          </cell>
        </row>
        <row r="449">
          <cell r="C449" t="str">
            <v>MF-100D/18</v>
          </cell>
          <cell r="E449" t="str">
            <v>FOSFATO MONOAMÓNICO GRANULAR</v>
          </cell>
          <cell r="F449" t="str">
            <v>NITRON GROUP LLC</v>
          </cell>
          <cell r="P449">
            <v>2778.0619999999999</v>
          </cell>
          <cell r="R449" t="str">
            <v>CFR</v>
          </cell>
          <cell r="S449">
            <v>455</v>
          </cell>
          <cell r="Y449">
            <v>43470</v>
          </cell>
          <cell r="AF449" t="str">
            <v>MATARANI</v>
          </cell>
        </row>
        <row r="450">
          <cell r="C450" t="str">
            <v>MF-101A/18</v>
          </cell>
          <cell r="E450" t="str">
            <v>FOSFATO DIAMÓNICO GRANULAR</v>
          </cell>
          <cell r="F450" t="str">
            <v>GAVILON</v>
          </cell>
          <cell r="P450">
            <v>1150</v>
          </cell>
          <cell r="R450" t="str">
            <v>CFR</v>
          </cell>
          <cell r="S450">
            <v>451</v>
          </cell>
          <cell r="Y450">
            <v>43507</v>
          </cell>
          <cell r="AF450" t="str">
            <v>CALLAO</v>
          </cell>
        </row>
        <row r="451">
          <cell r="C451" t="str">
            <v>MF-101B/18</v>
          </cell>
          <cell r="E451" t="str">
            <v>FOSFATO DIAMÓNICO GRANULAR</v>
          </cell>
          <cell r="F451" t="str">
            <v>GAVILON</v>
          </cell>
          <cell r="P451">
            <v>850</v>
          </cell>
          <cell r="R451" t="str">
            <v>CFR</v>
          </cell>
          <cell r="S451">
            <v>451</v>
          </cell>
          <cell r="Y451">
            <v>43510</v>
          </cell>
          <cell r="AF451" t="str">
            <v>MATARANI</v>
          </cell>
        </row>
        <row r="452">
          <cell r="C452" t="str">
            <v>MF-102A/18</v>
          </cell>
          <cell r="E452" t="str">
            <v>SULFATO DE AMONIO BLANCO ESTÁNDAR</v>
          </cell>
          <cell r="F452" t="str">
            <v>GAVILON</v>
          </cell>
          <cell r="P452">
            <v>2300</v>
          </cell>
          <cell r="R452" t="str">
            <v>CFR</v>
          </cell>
          <cell r="S452">
            <v>157</v>
          </cell>
          <cell r="Y452">
            <v>43500</v>
          </cell>
          <cell r="AF452" t="str">
            <v>PAITA</v>
          </cell>
        </row>
        <row r="453">
          <cell r="C453" t="str">
            <v>MF-102B/18</v>
          </cell>
          <cell r="E453" t="str">
            <v>SULFATO DE AMONIO BLANCO ESTÁNDAR</v>
          </cell>
          <cell r="F453" t="str">
            <v>GAVILON</v>
          </cell>
          <cell r="P453">
            <v>700</v>
          </cell>
          <cell r="R453" t="str">
            <v>CFR</v>
          </cell>
          <cell r="S453">
            <v>157</v>
          </cell>
          <cell r="Y453">
            <v>43503</v>
          </cell>
          <cell r="AF453" t="str">
            <v>SALAVERRY</v>
          </cell>
        </row>
        <row r="454">
          <cell r="C454" t="str">
            <v>MF-102C/18</v>
          </cell>
          <cell r="E454" t="str">
            <v>SULFATO DE AMONIO BLANCO ESTÁNDAR</v>
          </cell>
          <cell r="F454" t="str">
            <v>GAVILON</v>
          </cell>
          <cell r="P454">
            <v>500</v>
          </cell>
          <cell r="R454" t="str">
            <v>CFR</v>
          </cell>
          <cell r="S454">
            <v>157</v>
          </cell>
          <cell r="Y454">
            <v>43507</v>
          </cell>
          <cell r="AF454" t="str">
            <v>CALLAO</v>
          </cell>
        </row>
        <row r="455">
          <cell r="C455" t="str">
            <v>MF-103A1/18</v>
          </cell>
          <cell r="E455" t="str">
            <v>NITRATO DE POTASIO CRISTALIZADO</v>
          </cell>
          <cell r="F455" t="str">
            <v>MITSUI &amp; CO., Ltda</v>
          </cell>
          <cell r="P455">
            <v>297</v>
          </cell>
          <cell r="R455" t="str">
            <v>CFR</v>
          </cell>
          <cell r="S455">
            <v>776</v>
          </cell>
          <cell r="Y455">
            <v>43534</v>
          </cell>
          <cell r="AF455" t="str">
            <v>CALLAO</v>
          </cell>
        </row>
        <row r="456">
          <cell r="C456" t="str">
            <v>MF-103A2/18</v>
          </cell>
          <cell r="E456" t="str">
            <v>NITRATO DE POTASIO CRISTALIZADO</v>
          </cell>
          <cell r="F456" t="str">
            <v>MITSUI &amp; CO., Ltda</v>
          </cell>
          <cell r="P456">
            <v>216</v>
          </cell>
          <cell r="R456" t="str">
            <v>CFR</v>
          </cell>
          <cell r="S456">
            <v>776</v>
          </cell>
          <cell r="Y456">
            <v>43548</v>
          </cell>
          <cell r="AF456" t="str">
            <v>CALLAO</v>
          </cell>
        </row>
        <row r="457">
          <cell r="C457" t="str">
            <v>MF-103B/18</v>
          </cell>
          <cell r="E457" t="str">
            <v>NITRATO DE POTASIO CRISTALIZADO</v>
          </cell>
          <cell r="F457" t="str">
            <v>MITSUI &amp; CO., Ltda</v>
          </cell>
          <cell r="P457">
            <v>513</v>
          </cell>
          <cell r="R457" t="str">
            <v>CFR</v>
          </cell>
          <cell r="S457">
            <v>786</v>
          </cell>
          <cell r="Y457">
            <v>43542</v>
          </cell>
          <cell r="AF457" t="str">
            <v>PAITA</v>
          </cell>
        </row>
        <row r="458">
          <cell r="C458" t="str">
            <v>MF-104/18</v>
          </cell>
          <cell r="E458" t="str">
            <v>SULFATO DE POTASIO GRANULAR</v>
          </cell>
          <cell r="F458" t="str">
            <v xml:space="preserve">K+S KALI GMBH </v>
          </cell>
          <cell r="P458">
            <v>195.964</v>
          </cell>
          <cell r="R458" t="str">
            <v>CFR</v>
          </cell>
          <cell r="S458">
            <v>550</v>
          </cell>
          <cell r="Y458">
            <v>43511</v>
          </cell>
          <cell r="AF458" t="str">
            <v>CALLAO</v>
          </cell>
        </row>
        <row r="459">
          <cell r="C459" t="str">
            <v>MF-105A/18</v>
          </cell>
          <cell r="E459" t="str">
            <v>ÁCIDO FOSFÓRICO</v>
          </cell>
          <cell r="F459" t="str">
            <v>NITRON GROUP LLC</v>
          </cell>
          <cell r="P459">
            <v>505.4</v>
          </cell>
          <cell r="R459" t="str">
            <v>CFR</v>
          </cell>
          <cell r="S459">
            <v>874</v>
          </cell>
          <cell r="Y459">
            <v>43524</v>
          </cell>
          <cell r="AF459" t="str">
            <v>CALLAO</v>
          </cell>
        </row>
        <row r="460">
          <cell r="C460" t="str">
            <v>MF-105B/18</v>
          </cell>
          <cell r="E460" t="str">
            <v>ÁCIDO FOSFÓRICO</v>
          </cell>
          <cell r="F460" t="str">
            <v>NITRON GROUP LLC</v>
          </cell>
          <cell r="P460">
            <v>505.4</v>
          </cell>
          <cell r="R460" t="str">
            <v>CFR</v>
          </cell>
          <cell r="S460">
            <v>877</v>
          </cell>
          <cell r="Y460">
            <v>43528</v>
          </cell>
          <cell r="AF460" t="str">
            <v>PAITA</v>
          </cell>
        </row>
        <row r="461">
          <cell r="C461" t="str">
            <v>MF-105C/18</v>
          </cell>
          <cell r="E461" t="str">
            <v>ÁCIDO FOSFÓRICO</v>
          </cell>
          <cell r="F461" t="str">
            <v>NITRON GROUP LLC</v>
          </cell>
          <cell r="P461">
            <v>159.6</v>
          </cell>
          <cell r="R461" t="str">
            <v>CFR</v>
          </cell>
          <cell r="S461">
            <v>921</v>
          </cell>
          <cell r="Y461">
            <v>43538</v>
          </cell>
          <cell r="AF461" t="str">
            <v>MATARANI</v>
          </cell>
        </row>
        <row r="462">
          <cell r="C462" t="str">
            <v>MF-106/18</v>
          </cell>
          <cell r="E462" t="str">
            <v>NITRATO DE POTASIO CRISTALIZADO</v>
          </cell>
          <cell r="F462" t="str">
            <v xml:space="preserve">K+S KALI GMBH </v>
          </cell>
          <cell r="P462">
            <v>72</v>
          </cell>
          <cell r="R462" t="str">
            <v>CFR</v>
          </cell>
          <cell r="S462">
            <v>810</v>
          </cell>
          <cell r="Y462">
            <v>43509</v>
          </cell>
          <cell r="AF462" t="str">
            <v>CALLAO</v>
          </cell>
        </row>
        <row r="463">
          <cell r="C463" t="str">
            <v>MF-107A/18</v>
          </cell>
          <cell r="E463" t="str">
            <v xml:space="preserve">NPK 12-32-16 </v>
          </cell>
          <cell r="F463" t="str">
            <v>PHOSAGRO</v>
          </cell>
          <cell r="P463">
            <v>522</v>
          </cell>
          <cell r="R463" t="str">
            <v>CFR</v>
          </cell>
          <cell r="S463">
            <v>380</v>
          </cell>
          <cell r="Y463">
            <v>43532</v>
          </cell>
          <cell r="AF463" t="str">
            <v>CALLAO</v>
          </cell>
        </row>
        <row r="464">
          <cell r="C464" t="str">
            <v>MF-107B/18</v>
          </cell>
          <cell r="E464" t="str">
            <v xml:space="preserve">NPK 12-32-16 </v>
          </cell>
          <cell r="F464" t="str">
            <v>PHOSAGRO</v>
          </cell>
          <cell r="P464">
            <v>535</v>
          </cell>
          <cell r="R464" t="str">
            <v>CFR</v>
          </cell>
          <cell r="S464">
            <v>390</v>
          </cell>
          <cell r="Y464">
            <v>43528</v>
          </cell>
          <cell r="AF464" t="str">
            <v>PAITA</v>
          </cell>
        </row>
        <row r="465">
          <cell r="C465" t="str">
            <v>MF-108A/18</v>
          </cell>
          <cell r="E465" t="str">
            <v>SULFATO DE POTASIO SOLUBLE</v>
          </cell>
          <cell r="F465" t="str">
            <v xml:space="preserve">HELIOPOTASSE SA  </v>
          </cell>
          <cell r="P465">
            <v>350</v>
          </cell>
          <cell r="R465" t="str">
            <v>CFR</v>
          </cell>
          <cell r="S465">
            <v>540</v>
          </cell>
          <cell r="Y465">
            <v>43572</v>
          </cell>
          <cell r="AF465" t="str">
            <v>CALLAO</v>
          </cell>
        </row>
        <row r="466">
          <cell r="C466" t="str">
            <v>MF-108B/18</v>
          </cell>
          <cell r="E466" t="str">
            <v>SULFATO DE POTASIO SOLUBLE</v>
          </cell>
          <cell r="F466" t="str">
            <v xml:space="preserve">HELIOPOTASSE SA  </v>
          </cell>
          <cell r="P466">
            <v>325</v>
          </cell>
          <cell r="R466" t="str">
            <v>CFR</v>
          </cell>
          <cell r="S466">
            <v>547</v>
          </cell>
          <cell r="Y466">
            <v>43590</v>
          </cell>
          <cell r="AF466" t="str">
            <v>PAITA</v>
          </cell>
        </row>
        <row r="467">
          <cell r="C467" t="str">
            <v>MF-109/18</v>
          </cell>
          <cell r="E467" t="str">
            <v>SULFATO DE POTASIO SOLUBLE</v>
          </cell>
          <cell r="F467" t="str">
            <v xml:space="preserve">HELIOPOTASSE SA  </v>
          </cell>
          <cell r="P467">
            <v>325</v>
          </cell>
          <cell r="R467" t="str">
            <v>CFR</v>
          </cell>
          <cell r="S467">
            <v>547</v>
          </cell>
          <cell r="Y467">
            <v>43590</v>
          </cell>
          <cell r="AF467" t="str">
            <v>PAITA</v>
          </cell>
        </row>
        <row r="468">
          <cell r="C468" t="str">
            <v>MF-110A/18</v>
          </cell>
          <cell r="E468" t="str">
            <v>TIOSULFATO DE POTASIO</v>
          </cell>
          <cell r="F468" t="str">
            <v>KEYTRADE</v>
          </cell>
          <cell r="P468">
            <v>24.65</v>
          </cell>
          <cell r="R468" t="str">
            <v>CPT</v>
          </cell>
          <cell r="S468">
            <v>750</v>
          </cell>
          <cell r="Y468">
            <v>43516</v>
          </cell>
          <cell r="AF468" t="str">
            <v>CALLAO</v>
          </cell>
        </row>
        <row r="469">
          <cell r="C469" t="str">
            <v>MF-110B/18</v>
          </cell>
          <cell r="E469" t="str">
            <v>TIOSULFATO DE AMONIO</v>
          </cell>
          <cell r="F469" t="str">
            <v>KEYTRADE</v>
          </cell>
          <cell r="P469">
            <v>23.94</v>
          </cell>
          <cell r="R469" t="str">
            <v>CPT</v>
          </cell>
          <cell r="S469">
            <v>434</v>
          </cell>
          <cell r="Y469">
            <v>43516</v>
          </cell>
          <cell r="AF469" t="str">
            <v>CALLAO</v>
          </cell>
        </row>
        <row r="470">
          <cell r="C470" t="str">
            <v>MF-110C/18</v>
          </cell>
          <cell r="E470" t="str">
            <v>TIOSULFATO DE CALCIO</v>
          </cell>
          <cell r="F470" t="str">
            <v>KEYTRADE</v>
          </cell>
          <cell r="P470">
            <v>24.8</v>
          </cell>
          <cell r="R470" t="str">
            <v>CPT</v>
          </cell>
          <cell r="S470">
            <v>788</v>
          </cell>
          <cell r="Y470">
            <v>43500</v>
          </cell>
          <cell r="AF470" t="str">
            <v>CALLAO</v>
          </cell>
        </row>
        <row r="471">
          <cell r="C471" t="str">
            <v>MF-111A/18</v>
          </cell>
          <cell r="E471" t="str">
            <v>NITRATO DE POTASIO CRISTALIZADO</v>
          </cell>
          <cell r="F471" t="str">
            <v>KEYTRADE</v>
          </cell>
          <cell r="P471">
            <v>540</v>
          </cell>
          <cell r="R471" t="str">
            <v>CPT</v>
          </cell>
          <cell r="S471">
            <v>774</v>
          </cell>
          <cell r="Y471">
            <v>43509</v>
          </cell>
          <cell r="AF471" t="str">
            <v>CALLAO</v>
          </cell>
        </row>
        <row r="472">
          <cell r="C472" t="str">
            <v>MF-111B/18</v>
          </cell>
          <cell r="E472" t="str">
            <v>NITRATO DE POTASIO CRISTALIZADO</v>
          </cell>
          <cell r="F472" t="str">
            <v>KEYTRADE</v>
          </cell>
          <cell r="P472">
            <v>540</v>
          </cell>
          <cell r="R472" t="str">
            <v>CPT</v>
          </cell>
          <cell r="S472">
            <v>784</v>
          </cell>
          <cell r="Y472">
            <v>43520</v>
          </cell>
          <cell r="AF472" t="str">
            <v>PAITA</v>
          </cell>
        </row>
        <row r="473">
          <cell r="C473" t="str">
            <v>MF-001A/19</v>
          </cell>
          <cell r="E473" t="str">
            <v>UREA PERLADA</v>
          </cell>
          <cell r="F473" t="str">
            <v>DREYMOOR</v>
          </cell>
          <cell r="P473">
            <v>990</v>
          </cell>
          <cell r="R473" t="str">
            <v>CFR</v>
          </cell>
          <cell r="S473">
            <v>316</v>
          </cell>
          <cell r="Y473">
            <v>43512</v>
          </cell>
          <cell r="AF473" t="str">
            <v>PAITA</v>
          </cell>
        </row>
        <row r="474">
          <cell r="C474" t="str">
            <v>MF-001B/19</v>
          </cell>
          <cell r="E474" t="str">
            <v>UREA PERLADA</v>
          </cell>
          <cell r="F474" t="str">
            <v>DREYMOOR</v>
          </cell>
          <cell r="P474">
            <v>1540</v>
          </cell>
          <cell r="R474" t="str">
            <v>CFR</v>
          </cell>
          <cell r="S474">
            <v>316</v>
          </cell>
          <cell r="Y474">
            <v>43517</v>
          </cell>
          <cell r="AF474" t="str">
            <v>SALAVERRY</v>
          </cell>
        </row>
        <row r="475">
          <cell r="C475" t="str">
            <v>MF-001C/19</v>
          </cell>
          <cell r="E475" t="str">
            <v>UREA PERLADA</v>
          </cell>
          <cell r="F475" t="str">
            <v>DREYMOOR</v>
          </cell>
          <cell r="P475">
            <v>990</v>
          </cell>
          <cell r="R475" t="str">
            <v>CFR</v>
          </cell>
          <cell r="S475">
            <v>316</v>
          </cell>
          <cell r="Y475">
            <v>43526</v>
          </cell>
          <cell r="AF475" t="str">
            <v>CALLAO</v>
          </cell>
        </row>
        <row r="476">
          <cell r="C476" t="str">
            <v>MF-001D/19</v>
          </cell>
          <cell r="E476" t="str">
            <v>UREA PERLADA</v>
          </cell>
          <cell r="F476" t="str">
            <v>DREYMOOR</v>
          </cell>
          <cell r="P476">
            <v>880</v>
          </cell>
          <cell r="R476" t="str">
            <v>CFR</v>
          </cell>
          <cell r="S476">
            <v>316</v>
          </cell>
          <cell r="Y476">
            <v>43532</v>
          </cell>
          <cell r="AF476" t="str">
            <v>MATARANI</v>
          </cell>
        </row>
        <row r="477">
          <cell r="C477" t="str">
            <v>MF-002A/19</v>
          </cell>
          <cell r="E477" t="str">
            <v>UREA GRANULADA</v>
          </cell>
          <cell r="F477" t="str">
            <v>DREYMOOR</v>
          </cell>
          <cell r="P477">
            <v>200</v>
          </cell>
          <cell r="R477" t="str">
            <v>CFR</v>
          </cell>
          <cell r="S477">
            <v>320</v>
          </cell>
          <cell r="Y477">
            <v>43512</v>
          </cell>
          <cell r="AF477" t="str">
            <v>PAITA</v>
          </cell>
        </row>
        <row r="478">
          <cell r="C478" t="str">
            <v>MF-002B/19</v>
          </cell>
          <cell r="E478" t="str">
            <v>UREA GRANULADA</v>
          </cell>
          <cell r="F478" t="str">
            <v>DREYMOOR</v>
          </cell>
          <cell r="P478">
            <v>2090</v>
          </cell>
          <cell r="R478" t="str">
            <v>CFR</v>
          </cell>
          <cell r="S478">
            <v>326</v>
          </cell>
          <cell r="Y478">
            <v>43517</v>
          </cell>
          <cell r="AF478" t="str">
            <v>SALAVERRY</v>
          </cell>
        </row>
        <row r="479">
          <cell r="C479" t="str">
            <v>MF-002C/19</v>
          </cell>
          <cell r="E479" t="str">
            <v>UREA GRANULADA</v>
          </cell>
          <cell r="F479" t="str">
            <v>DREYMOOR</v>
          </cell>
          <cell r="P479">
            <v>1000</v>
          </cell>
          <cell r="R479" t="str">
            <v>CFR</v>
          </cell>
          <cell r="S479">
            <v>320</v>
          </cell>
          <cell r="Y479">
            <v>43526</v>
          </cell>
          <cell r="AF479" t="str">
            <v>CALLAO</v>
          </cell>
        </row>
        <row r="480">
          <cell r="C480" t="str">
            <v>MF-002D/19</v>
          </cell>
          <cell r="E480" t="str">
            <v>UREA GRANULADA</v>
          </cell>
          <cell r="F480" t="str">
            <v>DREYMOOR</v>
          </cell>
          <cell r="P480">
            <v>660</v>
          </cell>
          <cell r="R480" t="str">
            <v>CFR</v>
          </cell>
          <cell r="S480">
            <v>326</v>
          </cell>
          <cell r="Y480">
            <v>43532</v>
          </cell>
          <cell r="AF480" t="str">
            <v>MATARANI</v>
          </cell>
        </row>
        <row r="481">
          <cell r="C481" t="str">
            <v>MF-003A/19</v>
          </cell>
          <cell r="E481" t="str">
            <v>SINOMECTINA 18EC X 1 LT</v>
          </cell>
          <cell r="F481" t="str">
            <v>ANTALIEN</v>
          </cell>
          <cell r="P481">
            <v>1</v>
          </cell>
          <cell r="R481" t="str">
            <v>CIF</v>
          </cell>
          <cell r="S481">
            <v>6370</v>
          </cell>
          <cell r="Y481">
            <v>43607</v>
          </cell>
          <cell r="AF481" t="str">
            <v>CALLAO</v>
          </cell>
        </row>
        <row r="482">
          <cell r="C482" t="str">
            <v>MF-003B/19</v>
          </cell>
          <cell r="E482" t="str">
            <v>SINOMECTINA 18EC X 250 ML</v>
          </cell>
          <cell r="F482" t="str">
            <v>ANTALIEN</v>
          </cell>
          <cell r="P482">
            <v>0.25</v>
          </cell>
          <cell r="R482" t="str">
            <v>CIF</v>
          </cell>
          <cell r="S482">
            <v>7210</v>
          </cell>
          <cell r="Y482">
            <v>43607</v>
          </cell>
          <cell r="AF482" t="str">
            <v>CALLAO</v>
          </cell>
        </row>
        <row r="483">
          <cell r="C483" t="str">
            <v>MF-003C/19</v>
          </cell>
          <cell r="E483" t="str">
            <v>SINODIFE 250 EC X 1 LT</v>
          </cell>
          <cell r="F483" t="str">
            <v>ANTALIEN</v>
          </cell>
          <cell r="P483">
            <v>1.5</v>
          </cell>
          <cell r="R483" t="str">
            <v>CIF</v>
          </cell>
          <cell r="S483">
            <v>15200</v>
          </cell>
          <cell r="Y483">
            <v>43607</v>
          </cell>
          <cell r="AF483" t="str">
            <v>CALLAO</v>
          </cell>
        </row>
        <row r="484">
          <cell r="C484" t="str">
            <v>MF-003D/19</v>
          </cell>
          <cell r="E484" t="str">
            <v>SINOCLOPRID 350 SC X 1 LT</v>
          </cell>
          <cell r="F484" t="str">
            <v>ANTALIEN</v>
          </cell>
          <cell r="P484">
            <v>2.5</v>
          </cell>
          <cell r="R484" t="str">
            <v>CIF</v>
          </cell>
          <cell r="S484">
            <v>13820</v>
          </cell>
          <cell r="Y484">
            <v>43607</v>
          </cell>
          <cell r="AF484" t="str">
            <v>CALLAO</v>
          </cell>
        </row>
        <row r="485">
          <cell r="C485" t="str">
            <v>MF-003E/19</v>
          </cell>
          <cell r="E485" t="str">
            <v>SINOCLOPRID 350 SC X 250 ML</v>
          </cell>
          <cell r="F485" t="str">
            <v>ANTALIEN</v>
          </cell>
          <cell r="P485">
            <v>0.25</v>
          </cell>
          <cell r="R485" t="str">
            <v>CIF</v>
          </cell>
          <cell r="S485">
            <v>16190.000000000002</v>
          </cell>
          <cell r="Y485">
            <v>43607</v>
          </cell>
          <cell r="AF485" t="str">
            <v>CALLAO</v>
          </cell>
        </row>
        <row r="486">
          <cell r="C486" t="str">
            <v>MF-003F/19</v>
          </cell>
          <cell r="E486" t="str">
            <v>SINOCLOPRID 350 SC X 200 LTS</v>
          </cell>
          <cell r="F486" t="str">
            <v>ANTALIEN</v>
          </cell>
          <cell r="P486">
            <v>0.6</v>
          </cell>
          <cell r="R486" t="str">
            <v>CIF</v>
          </cell>
          <cell r="S486">
            <v>13500</v>
          </cell>
          <cell r="Y486">
            <v>43607</v>
          </cell>
          <cell r="AF486" t="str">
            <v>CALLAO</v>
          </cell>
        </row>
        <row r="487">
          <cell r="C487" t="str">
            <v>MF-003G/19</v>
          </cell>
          <cell r="E487" t="str">
            <v>SINOFENURON 50 EC X 1 LT</v>
          </cell>
          <cell r="F487" t="str">
            <v>ANTALIEN</v>
          </cell>
          <cell r="P487">
            <v>2</v>
          </cell>
          <cell r="R487" t="str">
            <v>CIF</v>
          </cell>
          <cell r="S487">
            <v>9960</v>
          </cell>
          <cell r="Y487">
            <v>43607</v>
          </cell>
          <cell r="AF487" t="str">
            <v>CALLAO</v>
          </cell>
        </row>
        <row r="488">
          <cell r="C488" t="str">
            <v>MF-003H/19</v>
          </cell>
          <cell r="E488" t="str">
            <v>SINOCONAZOLE 250 EW X 1 LT</v>
          </cell>
          <cell r="F488" t="str">
            <v>ANTALIEN</v>
          </cell>
          <cell r="P488">
            <v>2</v>
          </cell>
          <cell r="R488" t="str">
            <v>CIF</v>
          </cell>
          <cell r="S488">
            <v>11770</v>
          </cell>
          <cell r="Y488">
            <v>43607</v>
          </cell>
          <cell r="AF488" t="str">
            <v>CALLAO</v>
          </cell>
        </row>
        <row r="489">
          <cell r="C489" t="str">
            <v>MF-003I/19</v>
          </cell>
          <cell r="E489" t="str">
            <v>SINOFENURON 50 EC X 250 ML</v>
          </cell>
          <cell r="F489" t="str">
            <v>ANTALIEN</v>
          </cell>
          <cell r="P489">
            <v>0.25</v>
          </cell>
          <cell r="R489" t="str">
            <v>CIF</v>
          </cell>
          <cell r="S489">
            <v>11250</v>
          </cell>
          <cell r="Y489">
            <v>43607</v>
          </cell>
          <cell r="AF489" t="str">
            <v>CALLAO</v>
          </cell>
        </row>
        <row r="490">
          <cell r="C490" t="str">
            <v>MF-003J/19</v>
          </cell>
          <cell r="E490" t="str">
            <v>WENTUN 500 WG X 100GR</v>
          </cell>
          <cell r="F490" t="str">
            <v>ANTALIEN</v>
          </cell>
          <cell r="P490">
            <v>0.2</v>
          </cell>
          <cell r="R490" t="str">
            <v>CIF</v>
          </cell>
          <cell r="S490">
            <v>39799.999999999993</v>
          </cell>
          <cell r="Y490">
            <v>43607</v>
          </cell>
          <cell r="AF490" t="str">
            <v>CALLAO</v>
          </cell>
        </row>
        <row r="491">
          <cell r="C491" t="str">
            <v>MF-003K/19</v>
          </cell>
          <cell r="E491" t="str">
            <v>KALKUS 250 WG X 100 GR</v>
          </cell>
          <cell r="F491" t="str">
            <v>ANTALIEN</v>
          </cell>
          <cell r="P491">
            <v>2</v>
          </cell>
          <cell r="R491" t="str">
            <v>CIF</v>
          </cell>
          <cell r="S491">
            <v>20300</v>
          </cell>
          <cell r="Y491">
            <v>43607</v>
          </cell>
          <cell r="AF491" t="str">
            <v>CALLAO</v>
          </cell>
        </row>
        <row r="492">
          <cell r="C492" t="str">
            <v>MF-003L/19</v>
          </cell>
          <cell r="E492" t="str">
            <v>ADENTU 50 SG X 100 GR</v>
          </cell>
          <cell r="F492" t="str">
            <v>ANTALIEN</v>
          </cell>
          <cell r="P492">
            <v>1</v>
          </cell>
          <cell r="R492" t="str">
            <v>CIF</v>
          </cell>
          <cell r="S492">
            <v>19900</v>
          </cell>
          <cell r="Y492">
            <v>43607</v>
          </cell>
          <cell r="AF492" t="str">
            <v>CALLAO</v>
          </cell>
        </row>
        <row r="493">
          <cell r="C493" t="str">
            <v>MF-003M/19</v>
          </cell>
          <cell r="E493" t="str">
            <v>ANTAZIMA 500 SC X 1 LT</v>
          </cell>
          <cell r="F493" t="str">
            <v>ANTALIEN</v>
          </cell>
          <cell r="P493">
            <v>1</v>
          </cell>
          <cell r="R493" t="str">
            <v>CIF</v>
          </cell>
          <cell r="S493">
            <v>6250</v>
          </cell>
          <cell r="Y493">
            <v>43607</v>
          </cell>
          <cell r="AF493" t="str">
            <v>CALLAO</v>
          </cell>
        </row>
        <row r="494">
          <cell r="C494" t="str">
            <v>MF-003N/19</v>
          </cell>
          <cell r="E494" t="str">
            <v>ANTHODIM 120 EC X 1 LT</v>
          </cell>
          <cell r="F494" t="str">
            <v>ANTALIEN</v>
          </cell>
          <cell r="P494">
            <v>0.24</v>
          </cell>
          <cell r="R494" t="str">
            <v>CIF</v>
          </cell>
          <cell r="S494">
            <v>18620</v>
          </cell>
          <cell r="Y494">
            <v>43607</v>
          </cell>
          <cell r="AF494" t="str">
            <v>CALLAO</v>
          </cell>
        </row>
        <row r="495">
          <cell r="C495" t="str">
            <v>MF-003Ñ/19</v>
          </cell>
          <cell r="E495" t="str">
            <v>FITHOPLAY 200 SC X 1 LT</v>
          </cell>
          <cell r="F495" t="str">
            <v>ANTALIEN</v>
          </cell>
          <cell r="P495">
            <v>1</v>
          </cell>
          <cell r="R495" t="str">
            <v>CIF</v>
          </cell>
          <cell r="S495">
            <v>29100</v>
          </cell>
          <cell r="Y495">
            <v>43607</v>
          </cell>
          <cell r="AF495" t="str">
            <v>CALLAO</v>
          </cell>
        </row>
        <row r="496">
          <cell r="C496" t="str">
            <v>MF-003O/19</v>
          </cell>
          <cell r="E496" t="str">
            <v>FITHOPLAY 200 SC X 250 ML</v>
          </cell>
          <cell r="F496" t="str">
            <v>ANTALIEN</v>
          </cell>
          <cell r="P496">
            <v>0.2</v>
          </cell>
          <cell r="R496" t="str">
            <v>CIF</v>
          </cell>
          <cell r="S496">
            <v>32799.999999999993</v>
          </cell>
          <cell r="Y496">
            <v>43607</v>
          </cell>
          <cell r="AF496" t="str">
            <v>CALLAO</v>
          </cell>
        </row>
        <row r="497">
          <cell r="C497" t="str">
            <v>MF-003P/19</v>
          </cell>
          <cell r="E497" t="str">
            <v>IPROL 500 WP X 200 GR</v>
          </cell>
          <cell r="F497" t="str">
            <v>ANTALIEN</v>
          </cell>
          <cell r="P497">
            <v>0.2</v>
          </cell>
          <cell r="R497" t="str">
            <v>CIF</v>
          </cell>
          <cell r="S497">
            <v>19040</v>
          </cell>
          <cell r="Y497">
            <v>43607</v>
          </cell>
          <cell r="AF497" t="str">
            <v>CALLAO</v>
          </cell>
        </row>
        <row r="498">
          <cell r="C498" t="str">
            <v>MF-003Q/19</v>
          </cell>
          <cell r="E498" t="str">
            <v>PYRIPOD 400 SC X 200 ML</v>
          </cell>
          <cell r="F498" t="str">
            <v>ANTALIEN</v>
          </cell>
          <cell r="P498">
            <v>0.1</v>
          </cell>
          <cell r="R498" t="str">
            <v>CIF</v>
          </cell>
          <cell r="S498">
            <v>14950</v>
          </cell>
          <cell r="Y498">
            <v>43607</v>
          </cell>
          <cell r="AF498" t="str">
            <v>CALLAO</v>
          </cell>
        </row>
        <row r="499">
          <cell r="C499" t="str">
            <v>MF-003R/19</v>
          </cell>
          <cell r="E499" t="str">
            <v>ANTAMETRINA X 1 LT</v>
          </cell>
          <cell r="F499" t="str">
            <v>ANTALIEN</v>
          </cell>
          <cell r="P499">
            <v>2</v>
          </cell>
          <cell r="R499" t="str">
            <v>CIF</v>
          </cell>
          <cell r="S499">
            <v>9700</v>
          </cell>
          <cell r="Y499">
            <v>43607</v>
          </cell>
          <cell r="AF499" t="str">
            <v>CALLAO</v>
          </cell>
        </row>
        <row r="500">
          <cell r="C500" t="str">
            <v>MF-003S/19</v>
          </cell>
          <cell r="E500" t="str">
            <v>ANTAMETRINA X 250 ML</v>
          </cell>
          <cell r="F500" t="str">
            <v>ANTALIEN</v>
          </cell>
          <cell r="P500">
            <v>2</v>
          </cell>
          <cell r="R500" t="str">
            <v>CIF</v>
          </cell>
          <cell r="S500">
            <v>10000</v>
          </cell>
          <cell r="Y500">
            <v>43607</v>
          </cell>
          <cell r="AF500" t="str">
            <v>CALLAO</v>
          </cell>
        </row>
        <row r="501">
          <cell r="C501" t="str">
            <v>MF-004A/19</v>
          </cell>
          <cell r="E501" t="str">
            <v>NITRATO DE AMONIO</v>
          </cell>
          <cell r="F501" t="str">
            <v>URALCHEM (MITSUI)</v>
          </cell>
          <cell r="P501">
            <v>825</v>
          </cell>
          <cell r="R501" t="str">
            <v>CFR</v>
          </cell>
          <cell r="S501">
            <v>241</v>
          </cell>
          <cell r="Y501">
            <v>43512</v>
          </cell>
          <cell r="AF501" t="str">
            <v>PAITA</v>
          </cell>
        </row>
        <row r="502">
          <cell r="C502" t="str">
            <v>MF-004B/19</v>
          </cell>
          <cell r="E502" t="str">
            <v>NITRATO DE AMONIO</v>
          </cell>
          <cell r="F502" t="str">
            <v>URALCHEM (MITSUI)</v>
          </cell>
          <cell r="P502">
            <v>770</v>
          </cell>
          <cell r="R502" t="str">
            <v>CFR</v>
          </cell>
          <cell r="S502">
            <v>241</v>
          </cell>
          <cell r="Y502">
            <v>43525</v>
          </cell>
          <cell r="AF502" t="str">
            <v>PISCO</v>
          </cell>
        </row>
        <row r="503">
          <cell r="C503" t="str">
            <v>MF-004C/19</v>
          </cell>
          <cell r="E503" t="str">
            <v>NITRATO DE AMONIO</v>
          </cell>
          <cell r="F503" t="str">
            <v>URALCHEM (MITSUI)</v>
          </cell>
          <cell r="P503">
            <v>604.06700000000001</v>
          </cell>
          <cell r="R503" t="str">
            <v>CFR</v>
          </cell>
          <cell r="S503">
            <v>241</v>
          </cell>
          <cell r="Y503">
            <v>43529</v>
          </cell>
          <cell r="AF503" t="str">
            <v>MATARANI</v>
          </cell>
        </row>
        <row r="504">
          <cell r="C504" t="str">
            <v>MF-005A/19</v>
          </cell>
          <cell r="E504" t="str">
            <v>UREA PERLADA</v>
          </cell>
          <cell r="F504" t="str">
            <v>URALCHEM (MITSUI)</v>
          </cell>
          <cell r="P504">
            <v>1300</v>
          </cell>
          <cell r="R504" t="str">
            <v>CFR</v>
          </cell>
          <cell r="S504">
            <v>313</v>
          </cell>
          <cell r="Y504">
            <v>43512</v>
          </cell>
          <cell r="AF504" t="str">
            <v>PAITA</v>
          </cell>
        </row>
        <row r="505">
          <cell r="C505" t="str">
            <v>MF-005B/19</v>
          </cell>
          <cell r="E505" t="str">
            <v>UREA PERLADA</v>
          </cell>
          <cell r="F505" t="str">
            <v>URALCHEM (MITSUI)</v>
          </cell>
          <cell r="P505">
            <v>1800</v>
          </cell>
          <cell r="R505" t="str">
            <v>CFR</v>
          </cell>
          <cell r="S505">
            <v>313</v>
          </cell>
          <cell r="Y505">
            <v>43515</v>
          </cell>
          <cell r="AF505" t="str">
            <v>SALAVERRY</v>
          </cell>
        </row>
        <row r="506">
          <cell r="C506" t="str">
            <v>MF-005C/19</v>
          </cell>
          <cell r="E506" t="str">
            <v>UREA PERLADA</v>
          </cell>
          <cell r="F506" t="str">
            <v>URALCHEM (MITSUI)</v>
          </cell>
          <cell r="P506">
            <v>1000</v>
          </cell>
          <cell r="R506" t="str">
            <v>CFR</v>
          </cell>
          <cell r="S506">
            <v>313</v>
          </cell>
          <cell r="Y506">
            <v>43523</v>
          </cell>
          <cell r="AF506" t="str">
            <v>CALLAO</v>
          </cell>
        </row>
        <row r="507">
          <cell r="C507" t="str">
            <v>MF-005D/19</v>
          </cell>
          <cell r="E507" t="str">
            <v>UREA PERLADA</v>
          </cell>
          <cell r="F507" t="str">
            <v>URALCHEM (MITSUI)</v>
          </cell>
          <cell r="P507">
            <v>500</v>
          </cell>
          <cell r="R507" t="str">
            <v>CFR</v>
          </cell>
          <cell r="S507">
            <v>313</v>
          </cell>
          <cell r="Y507">
            <v>43525</v>
          </cell>
          <cell r="AF507" t="str">
            <v>PISCO</v>
          </cell>
        </row>
        <row r="508">
          <cell r="C508" t="str">
            <v>MF-005E/19</v>
          </cell>
          <cell r="E508" t="str">
            <v>UREA PERLADA</v>
          </cell>
          <cell r="F508" t="str">
            <v>URALCHEM (MITSUI)</v>
          </cell>
          <cell r="P508">
            <v>400</v>
          </cell>
          <cell r="R508" t="str">
            <v>CFR</v>
          </cell>
          <cell r="S508">
            <v>313</v>
          </cell>
          <cell r="Y508">
            <v>43529</v>
          </cell>
          <cell r="AF508" t="str">
            <v>MATARANI</v>
          </cell>
        </row>
        <row r="509">
          <cell r="C509" t="str">
            <v>MF-006/19</v>
          </cell>
          <cell r="E509" t="str">
            <v>CR - MAG BIGBAG</v>
          </cell>
          <cell r="F509" t="str">
            <v>TIMAB</v>
          </cell>
          <cell r="P509">
            <v>100</v>
          </cell>
          <cell r="R509" t="str">
            <v>CIF</v>
          </cell>
          <cell r="S509">
            <v>340</v>
          </cell>
          <cell r="Y509">
            <v>43555</v>
          </cell>
          <cell r="AF509" t="str">
            <v>CALLAO</v>
          </cell>
        </row>
        <row r="510">
          <cell r="C510" t="str">
            <v>MF-007/19</v>
          </cell>
          <cell r="E510" t="str">
            <v>UREA FOSFATADA X 25KG</v>
          </cell>
          <cell r="F510" t="str">
            <v>KEYTRADE</v>
          </cell>
          <cell r="P510">
            <v>106</v>
          </cell>
          <cell r="R510" t="str">
            <v>CPT</v>
          </cell>
          <cell r="S510">
            <v>718</v>
          </cell>
          <cell r="Y510">
            <v>43567</v>
          </cell>
          <cell r="AF510" t="str">
            <v>CALLAO</v>
          </cell>
        </row>
        <row r="511">
          <cell r="C511" t="str">
            <v>MF-008/19</v>
          </cell>
          <cell r="E511" t="str">
            <v>ÁCIDO FOSFÓRICO</v>
          </cell>
          <cell r="F511" t="str">
            <v>NITRON GROUP LLC</v>
          </cell>
          <cell r="P511">
            <v>408</v>
          </cell>
          <cell r="R511" t="str">
            <v>CFR</v>
          </cell>
          <cell r="S511">
            <v>868</v>
          </cell>
          <cell r="Y511">
            <v>43548</v>
          </cell>
          <cell r="AF511" t="str">
            <v>PAITA</v>
          </cell>
        </row>
        <row r="512">
          <cell r="C512" t="str">
            <v>MF-009A/19</v>
          </cell>
          <cell r="E512" t="str">
            <v>ÁCIDO FOSFÓRICO</v>
          </cell>
          <cell r="F512" t="str">
            <v>NITRON GROUP LLC</v>
          </cell>
          <cell r="P512">
            <v>168</v>
          </cell>
          <cell r="R512" t="str">
            <v>CFR</v>
          </cell>
          <cell r="S512">
            <v>858</v>
          </cell>
          <cell r="Y512">
            <v>43570</v>
          </cell>
          <cell r="AF512" t="str">
            <v>CALLAO</v>
          </cell>
        </row>
        <row r="513">
          <cell r="C513" t="str">
            <v>MF-009B/19</v>
          </cell>
          <cell r="E513" t="str">
            <v>ÁCIDO FOSFÓRICO</v>
          </cell>
          <cell r="F513" t="str">
            <v>NITRON GROUP LLC</v>
          </cell>
          <cell r="P513">
            <v>360</v>
          </cell>
          <cell r="R513" t="str">
            <v>CFR</v>
          </cell>
          <cell r="S513">
            <v>868</v>
          </cell>
          <cell r="Y513">
            <v>43563</v>
          </cell>
          <cell r="AF513" t="str">
            <v>PAITA</v>
          </cell>
        </row>
        <row r="514">
          <cell r="C514" t="str">
            <v>MF-010A/19</v>
          </cell>
          <cell r="E514" t="str">
            <v>SULFATO DE AMONIO BLANCO GRANULAR</v>
          </cell>
          <cell r="F514" t="str">
            <v>NITRON GROUP LLC</v>
          </cell>
          <cell r="P514">
            <v>630</v>
          </cell>
          <cell r="R514" t="str">
            <v>CFR</v>
          </cell>
          <cell r="S514">
            <v>190</v>
          </cell>
          <cell r="Y514">
            <v>43556</v>
          </cell>
          <cell r="AF514" t="str">
            <v>PAITA</v>
          </cell>
        </row>
        <row r="515">
          <cell r="C515" t="str">
            <v>MF-010B/19</v>
          </cell>
          <cell r="E515" t="str">
            <v>SULFATO DE AMONIO BLANCO GRANULAR</v>
          </cell>
          <cell r="F515" t="str">
            <v>NITRON GROUP LLC</v>
          </cell>
          <cell r="P515">
            <v>270</v>
          </cell>
          <cell r="R515" t="str">
            <v>CFR</v>
          </cell>
          <cell r="S515">
            <v>190</v>
          </cell>
          <cell r="Y515">
            <v>43561</v>
          </cell>
          <cell r="AF515" t="str">
            <v>SALAVERRY</v>
          </cell>
        </row>
        <row r="516">
          <cell r="C516" t="str">
            <v>MF-011A/19</v>
          </cell>
          <cell r="E516" t="str">
            <v>FOSFATO MONOAMÓNICO CRISTALIZADO</v>
          </cell>
          <cell r="F516" t="str">
            <v>NITRON GROUP LLC</v>
          </cell>
          <cell r="P516">
            <v>360</v>
          </cell>
          <cell r="R516" t="str">
            <v>CFR</v>
          </cell>
          <cell r="S516">
            <v>615</v>
          </cell>
          <cell r="Y516">
            <v>43556</v>
          </cell>
          <cell r="AF516" t="str">
            <v>PAITA</v>
          </cell>
        </row>
        <row r="517">
          <cell r="C517" t="str">
            <v>MF-011B/19</v>
          </cell>
          <cell r="E517" t="str">
            <v>FOSFATO MONOAMÓNICO CRISTALIZADO</v>
          </cell>
          <cell r="F517" t="str">
            <v>NITRON GROUP LLC</v>
          </cell>
          <cell r="P517">
            <v>400</v>
          </cell>
          <cell r="R517" t="str">
            <v>CFR</v>
          </cell>
          <cell r="S517">
            <v>615</v>
          </cell>
          <cell r="Y517">
            <v>43561</v>
          </cell>
          <cell r="AF517" t="str">
            <v>SALAVERRY</v>
          </cell>
        </row>
        <row r="518">
          <cell r="C518" t="str">
            <v>MF-012A1/19</v>
          </cell>
          <cell r="E518" t="str">
            <v xml:space="preserve">SULFATO DE MAGNESIO HEPTAHIDRATADO </v>
          </cell>
          <cell r="F518" t="str">
            <v>JM FERTILIZER</v>
          </cell>
          <cell r="P518">
            <v>85.5</v>
          </cell>
          <cell r="R518" t="str">
            <v>CFR</v>
          </cell>
          <cell r="S518">
            <v>125</v>
          </cell>
          <cell r="Y518">
            <v>43578</v>
          </cell>
          <cell r="AF518" t="str">
            <v>PAITA</v>
          </cell>
        </row>
        <row r="519">
          <cell r="C519" t="str">
            <v>MF-012A2/19</v>
          </cell>
          <cell r="E519" t="str">
            <v xml:space="preserve">SULFATO DE MAGNESIO HEPTAHIDRATADO </v>
          </cell>
          <cell r="F519" t="str">
            <v>JM FERTILIZER</v>
          </cell>
          <cell r="P519">
            <v>370.5</v>
          </cell>
          <cell r="R519" t="str">
            <v>CFR</v>
          </cell>
          <cell r="S519">
            <v>125</v>
          </cell>
          <cell r="Y519">
            <v>43585</v>
          </cell>
          <cell r="AF519" t="str">
            <v>PAITA</v>
          </cell>
        </row>
        <row r="520">
          <cell r="C520" t="str">
            <v>MF-012B/19</v>
          </cell>
          <cell r="E520" t="str">
            <v xml:space="preserve">SULFATO DE MAGNESIO HEPTAHIDRATADO </v>
          </cell>
          <cell r="F520" t="str">
            <v>JM FERTILIZER</v>
          </cell>
          <cell r="P520">
            <v>570</v>
          </cell>
          <cell r="R520" t="str">
            <v>CFR</v>
          </cell>
          <cell r="S520">
            <v>125</v>
          </cell>
          <cell r="Y520">
            <v>43577</v>
          </cell>
          <cell r="AF520" t="str">
            <v>PAITA</v>
          </cell>
        </row>
        <row r="521">
          <cell r="C521" t="str">
            <v>MF-013/19</v>
          </cell>
          <cell r="E521" t="str">
            <v xml:space="preserve">SULFATO DE MAGNESIO HEPTAHIDRATADO </v>
          </cell>
          <cell r="F521" t="str">
            <v>JM FERTILIZER</v>
          </cell>
          <cell r="P521">
            <v>300</v>
          </cell>
          <cell r="R521" t="str">
            <v>CFR</v>
          </cell>
          <cell r="S521">
            <v>125</v>
          </cell>
          <cell r="Y521">
            <v>43572</v>
          </cell>
          <cell r="AF521" t="str">
            <v>CALLAO</v>
          </cell>
        </row>
        <row r="522">
          <cell r="C522" t="str">
            <v>MF-014/19</v>
          </cell>
          <cell r="E522" t="str">
            <v>NITRATO DE MAGNESIO HEXAHIDRATADO</v>
          </cell>
          <cell r="F522" t="str">
            <v>NEW CHINA CHEMICALS CO., LTD.</v>
          </cell>
          <cell r="P522">
            <v>200</v>
          </cell>
          <cell r="R522" t="str">
            <v>CFR</v>
          </cell>
          <cell r="S522">
            <v>268</v>
          </cell>
          <cell r="Y522">
            <v>43585</v>
          </cell>
          <cell r="AF522" t="str">
            <v>CALLAO</v>
          </cell>
        </row>
        <row r="523">
          <cell r="C523" t="str">
            <v>MF-015/19</v>
          </cell>
          <cell r="E523" t="str">
            <v>NITRATO DE MAGNESIO HEXAHIDRATADO</v>
          </cell>
          <cell r="F523" t="str">
            <v>NEW CHINA CHEMICALS CO., LTD.</v>
          </cell>
          <cell r="P523">
            <v>75</v>
          </cell>
          <cell r="R523" t="str">
            <v>CFR</v>
          </cell>
          <cell r="S523">
            <v>278</v>
          </cell>
          <cell r="Y523">
            <v>43598</v>
          </cell>
          <cell r="AF523" t="str">
            <v>PAITA</v>
          </cell>
        </row>
        <row r="524">
          <cell r="C524" t="str">
            <v>MF-016A1/19</v>
          </cell>
          <cell r="E524" t="str">
            <v xml:space="preserve">SULFATO DE MAGNESIO HEPTAHIDRATADO </v>
          </cell>
          <cell r="F524" t="str">
            <v>MITSUI &amp; CO., Ltda</v>
          </cell>
          <cell r="P524">
            <v>270</v>
          </cell>
          <cell r="R524" t="str">
            <v>CFR</v>
          </cell>
          <cell r="S524">
            <v>125</v>
          </cell>
          <cell r="Y524">
            <v>43583</v>
          </cell>
          <cell r="AF524" t="str">
            <v>CALLAO</v>
          </cell>
        </row>
        <row r="525">
          <cell r="C525" t="str">
            <v>MF-016A2/19</v>
          </cell>
          <cell r="E525" t="str">
            <v xml:space="preserve">SULFATO DE MAGNESIO HEPTAHIDRATADO </v>
          </cell>
          <cell r="F525" t="str">
            <v>MITSUI &amp; CO., Ltda</v>
          </cell>
          <cell r="P525">
            <v>499.7</v>
          </cell>
          <cell r="R525" t="str">
            <v>CFR</v>
          </cell>
          <cell r="S525">
            <v>125</v>
          </cell>
          <cell r="Y525">
            <v>43588</v>
          </cell>
          <cell r="AF525" t="str">
            <v>CALLAO</v>
          </cell>
        </row>
        <row r="526">
          <cell r="C526" t="str">
            <v>MF-017/19</v>
          </cell>
          <cell r="E526" t="str">
            <v>SULFATO DE AMONIO BLANCO ESTÁNDAR</v>
          </cell>
          <cell r="F526" t="str">
            <v>NITRON GROUP LLC</v>
          </cell>
          <cell r="P526">
            <v>1080</v>
          </cell>
          <cell r="R526" t="str">
            <v>CFR</v>
          </cell>
          <cell r="S526">
            <v>142</v>
          </cell>
          <cell r="Y526">
            <v>43561</v>
          </cell>
          <cell r="AF526" t="str">
            <v>SALAVERRY</v>
          </cell>
        </row>
        <row r="527">
          <cell r="C527" t="str">
            <v>MF-018/19</v>
          </cell>
          <cell r="E527" t="str">
            <v>NITRATO DE CALCIO</v>
          </cell>
          <cell r="F527" t="str">
            <v xml:space="preserve">HELIOPOTASSE SA  </v>
          </cell>
          <cell r="P527">
            <v>504</v>
          </cell>
          <cell r="R527" t="str">
            <v>CFR</v>
          </cell>
          <cell r="S527">
            <v>257</v>
          </cell>
          <cell r="Y527">
            <v>43572</v>
          </cell>
          <cell r="AF527" t="str">
            <v>PAITA</v>
          </cell>
        </row>
        <row r="528">
          <cell r="C528" t="str">
            <v>MF-019/19</v>
          </cell>
          <cell r="E528" t="str">
            <v>NITRATO DE CALCIO</v>
          </cell>
          <cell r="F528" t="str">
            <v xml:space="preserve">HELIOPOTASSE SA  </v>
          </cell>
          <cell r="P528">
            <v>504</v>
          </cell>
          <cell r="R528" t="str">
            <v>CFR</v>
          </cell>
          <cell r="S528">
            <v>257</v>
          </cell>
          <cell r="Y528">
            <v>43591</v>
          </cell>
          <cell r="AF528" t="str">
            <v>PAITA</v>
          </cell>
        </row>
        <row r="529">
          <cell r="C529" t="str">
            <v>MF-020A1/19</v>
          </cell>
          <cell r="E529" t="str">
            <v xml:space="preserve">SULFATO DE MAGNESIO HEPTAHIDRATADO </v>
          </cell>
          <cell r="F529" t="str">
            <v>STAR GRACE MINING CO.,LTD</v>
          </cell>
          <cell r="P529">
            <v>162</v>
          </cell>
          <cell r="R529" t="str">
            <v>CFR</v>
          </cell>
          <cell r="S529">
            <v>154</v>
          </cell>
          <cell r="Y529">
            <v>43579</v>
          </cell>
          <cell r="AF529" t="str">
            <v>MATARANI</v>
          </cell>
        </row>
        <row r="530">
          <cell r="C530" t="str">
            <v>MF-020A2/19</v>
          </cell>
          <cell r="E530" t="str">
            <v xml:space="preserve">SULFATO DE MAGNESIO HEPTAHIDRATADO </v>
          </cell>
          <cell r="F530" t="str">
            <v>STAR GRACE MINING CO.,LTD</v>
          </cell>
          <cell r="P530">
            <v>162</v>
          </cell>
          <cell r="R530" t="str">
            <v>CFR</v>
          </cell>
          <cell r="S530">
            <v>154</v>
          </cell>
          <cell r="Y530">
            <v>43593</v>
          </cell>
          <cell r="AF530" t="str">
            <v>MATARANI</v>
          </cell>
        </row>
        <row r="531">
          <cell r="C531" t="str">
            <v>MF-021/19</v>
          </cell>
          <cell r="E531" t="str">
            <v>SULFATO DE POTASIO SOLUBLE</v>
          </cell>
          <cell r="F531" t="str">
            <v>NEW CHINA CHEMICALS CO., LTD.</v>
          </cell>
          <cell r="P531">
            <v>104</v>
          </cell>
          <cell r="R531" t="str">
            <v>CIF</v>
          </cell>
          <cell r="S531">
            <v>530</v>
          </cell>
          <cell r="Y531">
            <v>43607</v>
          </cell>
          <cell r="AF531" t="str">
            <v>MATARANI</v>
          </cell>
        </row>
        <row r="532">
          <cell r="C532" t="str">
            <v>MF-022/19</v>
          </cell>
          <cell r="E532" t="str">
            <v>FOSFATO MONOAMÓNICO CRISTALIZADO</v>
          </cell>
          <cell r="F532" t="str">
            <v>NITRON GROUP LLC</v>
          </cell>
          <cell r="P532">
            <v>100</v>
          </cell>
          <cell r="R532" t="str">
            <v>CFR</v>
          </cell>
          <cell r="S532">
            <v>668</v>
          </cell>
          <cell r="Y532">
            <v>43596</v>
          </cell>
          <cell r="AF532" t="str">
            <v>MATARANI</v>
          </cell>
        </row>
        <row r="533">
          <cell r="C533" t="str">
            <v>MF-023A1/19</v>
          </cell>
          <cell r="E533" t="str">
            <v>POLISULFATO GRANULADO</v>
          </cell>
          <cell r="F533" t="str">
            <v>ICL EUROPE COOPERATIEF U.A.</v>
          </cell>
          <cell r="P533">
            <v>111.9</v>
          </cell>
          <cell r="R533" t="str">
            <v>CFR</v>
          </cell>
          <cell r="S533">
            <v>225</v>
          </cell>
          <cell r="Y533">
            <v>43573</v>
          </cell>
          <cell r="AF533" t="str">
            <v>CALLAO</v>
          </cell>
        </row>
        <row r="534">
          <cell r="C534" t="str">
            <v>MF-023B1/19</v>
          </cell>
          <cell r="E534" t="str">
            <v>POLISULFATO GRANULADO</v>
          </cell>
          <cell r="F534" t="str">
            <v>ICL EUROPE COOPERATIEF U.A.</v>
          </cell>
          <cell r="P534">
            <v>167.8</v>
          </cell>
          <cell r="R534" t="str">
            <v>CFR</v>
          </cell>
          <cell r="S534">
            <v>225</v>
          </cell>
          <cell r="Y534">
            <v>43577</v>
          </cell>
          <cell r="AF534" t="str">
            <v>PAITA</v>
          </cell>
        </row>
        <row r="535">
          <cell r="C535" t="str">
            <v>MF-023A2/19</v>
          </cell>
          <cell r="E535" t="str">
            <v>POLISULFATO GRANULADO</v>
          </cell>
          <cell r="F535" t="str">
            <v>ICL EUROPE COOPERATIEF U.A.</v>
          </cell>
          <cell r="P535">
            <v>111.9</v>
          </cell>
          <cell r="R535" t="str">
            <v>CFR</v>
          </cell>
          <cell r="S535">
            <v>225</v>
          </cell>
          <cell r="Y535">
            <v>43588</v>
          </cell>
          <cell r="AF535" t="str">
            <v>CALLAO</v>
          </cell>
        </row>
        <row r="536">
          <cell r="C536" t="str">
            <v>MF-023B2/19</v>
          </cell>
          <cell r="E536" t="str">
            <v>POLISULFATO GRANULADO</v>
          </cell>
          <cell r="F536" t="str">
            <v>ICL EUROPE COOPERATIEF U.A.</v>
          </cell>
          <cell r="P536">
            <v>139.88</v>
          </cell>
          <cell r="R536" t="str">
            <v>CFR</v>
          </cell>
          <cell r="S536">
            <v>225</v>
          </cell>
          <cell r="Y536">
            <v>43591</v>
          </cell>
          <cell r="AF536" t="str">
            <v>PAITA</v>
          </cell>
        </row>
        <row r="537">
          <cell r="C537" t="str">
            <v>MF-023A3/19</v>
          </cell>
          <cell r="E537" t="str">
            <v>POLISULFATO GRANULADO</v>
          </cell>
          <cell r="F537" t="str">
            <v>ICL EUROPE COOPERATIEF U.A.</v>
          </cell>
          <cell r="P537">
            <v>139.72</v>
          </cell>
          <cell r="R537" t="str">
            <v>CFR</v>
          </cell>
          <cell r="S537">
            <v>225</v>
          </cell>
          <cell r="Y537">
            <v>43630</v>
          </cell>
          <cell r="AF537" t="str">
            <v>CALLAO</v>
          </cell>
        </row>
        <row r="538">
          <cell r="C538" t="str">
            <v>MF-023B3/19</v>
          </cell>
          <cell r="E538" t="str">
            <v>POLISULFATO GRANULADO</v>
          </cell>
          <cell r="F538" t="str">
            <v>ICL EUROPE COOPERATIEF U.A.</v>
          </cell>
          <cell r="P538">
            <v>139.74</v>
          </cell>
          <cell r="R538" t="str">
            <v>CFR</v>
          </cell>
          <cell r="S538">
            <v>225</v>
          </cell>
          <cell r="Y538">
            <v>43633</v>
          </cell>
          <cell r="AF538" t="str">
            <v>PAITA</v>
          </cell>
        </row>
        <row r="539">
          <cell r="C539" t="str">
            <v>MF-024A/19</v>
          </cell>
          <cell r="E539" t="str">
            <v>POTASHPLUS A GRANEL</v>
          </cell>
          <cell r="F539" t="str">
            <v>ICL EUROPE COOPERATIEF U.A.</v>
          </cell>
          <cell r="P539">
            <v>55.86</v>
          </cell>
          <cell r="R539" t="str">
            <v>CFR</v>
          </cell>
          <cell r="S539">
            <v>275</v>
          </cell>
          <cell r="Y539">
            <v>43573</v>
          </cell>
          <cell r="AF539" t="str">
            <v>CALLAO</v>
          </cell>
        </row>
        <row r="540">
          <cell r="C540" t="str">
            <v>MF-024B/19</v>
          </cell>
          <cell r="E540" t="str">
            <v>POTASHPLUS A GRANEL</v>
          </cell>
          <cell r="F540" t="str">
            <v>ICL EUROPE COOPERATIEF U.A.</v>
          </cell>
          <cell r="P540">
            <v>55.88</v>
          </cell>
          <cell r="R540" t="str">
            <v>CFR</v>
          </cell>
          <cell r="S540">
            <v>275</v>
          </cell>
          <cell r="Y540">
            <v>43577</v>
          </cell>
          <cell r="AF540" t="str">
            <v>PAITA</v>
          </cell>
        </row>
        <row r="541">
          <cell r="C541" t="str">
            <v>MF-025/19</v>
          </cell>
          <cell r="E541" t="str">
            <v>BROWN AGRONYL CR X 20KG</v>
          </cell>
          <cell r="F541" t="str">
            <v>LUENGO COLOR, SLU</v>
          </cell>
          <cell r="P541">
            <v>0.5</v>
          </cell>
          <cell r="R541" t="str">
            <v>CIF</v>
          </cell>
          <cell r="S541">
            <v>3933.5</v>
          </cell>
          <cell r="Y541">
            <v>43551</v>
          </cell>
          <cell r="AF541" t="str">
            <v>CALLAO</v>
          </cell>
        </row>
        <row r="542">
          <cell r="C542" t="str">
            <v>MF-026A/19</v>
          </cell>
          <cell r="E542" t="str">
            <v>UREA PERLADA</v>
          </cell>
          <cell r="F542" t="str">
            <v>URALCHEM</v>
          </cell>
          <cell r="P542">
            <v>1100</v>
          </cell>
          <cell r="R542" t="str">
            <v>CFR</v>
          </cell>
          <cell r="S542">
            <v>279</v>
          </cell>
          <cell r="Y542">
            <v>43581</v>
          </cell>
          <cell r="AF542" t="str">
            <v>PAITA</v>
          </cell>
        </row>
        <row r="543">
          <cell r="C543" t="str">
            <v>MF-026B/19</v>
          </cell>
          <cell r="E543" t="str">
            <v>UREA PERLADA</v>
          </cell>
          <cell r="F543" t="str">
            <v>URALCHEM</v>
          </cell>
          <cell r="P543">
            <v>1200</v>
          </cell>
          <cell r="R543" t="str">
            <v>CFR</v>
          </cell>
          <cell r="S543">
            <v>279</v>
          </cell>
          <cell r="Y543">
            <v>43583</v>
          </cell>
          <cell r="AF543" t="str">
            <v>SALAVERRY</v>
          </cell>
        </row>
        <row r="544">
          <cell r="C544" t="str">
            <v>MF-026C/19</v>
          </cell>
          <cell r="E544" t="str">
            <v>UREA PERLADA</v>
          </cell>
          <cell r="F544" t="str">
            <v>URALCHEM</v>
          </cell>
          <cell r="P544">
            <v>1800</v>
          </cell>
          <cell r="R544" t="str">
            <v>CFR</v>
          </cell>
          <cell r="S544">
            <v>279</v>
          </cell>
          <cell r="Y544">
            <v>43586</v>
          </cell>
          <cell r="AF544" t="str">
            <v>CALLAO</v>
          </cell>
        </row>
        <row r="545">
          <cell r="C545" t="str">
            <v>MF-027A/19</v>
          </cell>
          <cell r="E545" t="str">
            <v>UREA GRANULADA</v>
          </cell>
          <cell r="F545" t="str">
            <v>URALCHEM</v>
          </cell>
          <cell r="P545">
            <v>450</v>
          </cell>
          <cell r="R545" t="str">
            <v>CFR</v>
          </cell>
          <cell r="S545">
            <v>291</v>
          </cell>
          <cell r="Y545">
            <v>43581</v>
          </cell>
          <cell r="AF545" t="str">
            <v>PAITA</v>
          </cell>
        </row>
        <row r="546">
          <cell r="C546" t="str">
            <v>MF-027B/19</v>
          </cell>
          <cell r="E546" t="str">
            <v>UREA GRANULADA</v>
          </cell>
          <cell r="F546" t="str">
            <v>URALCHEM</v>
          </cell>
          <cell r="P546">
            <v>700</v>
          </cell>
          <cell r="R546" t="str">
            <v>CFR</v>
          </cell>
          <cell r="S546">
            <v>291</v>
          </cell>
          <cell r="Y546">
            <v>43583</v>
          </cell>
          <cell r="AF546" t="str">
            <v>SALAVERRY</v>
          </cell>
        </row>
        <row r="547">
          <cell r="C547" t="str">
            <v>MF-027C/19</v>
          </cell>
          <cell r="E547" t="str">
            <v>UREA GRANULADA</v>
          </cell>
          <cell r="F547" t="str">
            <v>URALCHEM</v>
          </cell>
          <cell r="P547">
            <v>2150</v>
          </cell>
          <cell r="R547" t="str">
            <v>CFR</v>
          </cell>
          <cell r="S547">
            <v>291</v>
          </cell>
          <cell r="Y547">
            <v>43586</v>
          </cell>
          <cell r="AF547" t="str">
            <v>CALLAO</v>
          </cell>
        </row>
        <row r="548">
          <cell r="C548" t="str">
            <v>MF-028A/19</v>
          </cell>
          <cell r="E548" t="str">
            <v>NITRATO DE AMONIO</v>
          </cell>
          <cell r="F548" t="str">
            <v>URALCHEM</v>
          </cell>
          <cell r="P548">
            <v>300</v>
          </cell>
          <cell r="R548" t="str">
            <v>CFR</v>
          </cell>
          <cell r="S548">
            <v>237</v>
          </cell>
          <cell r="Y548">
            <v>43583</v>
          </cell>
          <cell r="AF548" t="str">
            <v>SALAVERRY</v>
          </cell>
        </row>
        <row r="549">
          <cell r="C549" t="str">
            <v>MF-028B/19</v>
          </cell>
          <cell r="E549" t="str">
            <v>NITRATO DE AMONIO</v>
          </cell>
          <cell r="F549" t="str">
            <v>URALCHEM</v>
          </cell>
          <cell r="P549">
            <v>1400</v>
          </cell>
          <cell r="R549" t="str">
            <v>CFR</v>
          </cell>
          <cell r="S549">
            <v>237</v>
          </cell>
          <cell r="Y549">
            <v>43586</v>
          </cell>
          <cell r="AF549" t="str">
            <v>CALLAO</v>
          </cell>
        </row>
        <row r="550">
          <cell r="C550" t="str">
            <v>MF-028C/19</v>
          </cell>
          <cell r="E550" t="str">
            <v>NITRATO DE AMONIO</v>
          </cell>
          <cell r="F550" t="str">
            <v>URALCHEM</v>
          </cell>
          <cell r="P550">
            <v>300</v>
          </cell>
          <cell r="R550" t="str">
            <v>CFR</v>
          </cell>
          <cell r="S550">
            <v>237</v>
          </cell>
          <cell r="Y550">
            <v>43594</v>
          </cell>
          <cell r="AF550" t="str">
            <v>PISCO</v>
          </cell>
        </row>
        <row r="551">
          <cell r="C551" t="str">
            <v>MF-029A/19</v>
          </cell>
          <cell r="E551" t="str">
            <v>OSMOCOTE PLUS 15-9-12 (6M)</v>
          </cell>
          <cell r="F551" t="str">
            <v>EVERRIS INTERNATIONAL B.V.</v>
          </cell>
          <cell r="P551">
            <v>16.329329999999999</v>
          </cell>
          <cell r="R551" t="str">
            <v>CPT</v>
          </cell>
          <cell r="S551">
            <v>2359.6620314489332</v>
          </cell>
          <cell r="Y551">
            <v>43658</v>
          </cell>
          <cell r="AF551" t="str">
            <v>CALLAO</v>
          </cell>
        </row>
        <row r="552">
          <cell r="C552" t="str">
            <v>MF-029B/19</v>
          </cell>
          <cell r="E552" t="str">
            <v>OSMOCOTE PLUS 15-9-12 (9M)</v>
          </cell>
          <cell r="F552" t="str">
            <v>EVERRIS INTERNATIONAL B.V.</v>
          </cell>
          <cell r="P552">
            <v>1.81437</v>
          </cell>
          <cell r="R552" t="str">
            <v>CPT</v>
          </cell>
          <cell r="S552">
            <v>2359.6620314489328</v>
          </cell>
          <cell r="Y552">
            <v>43658</v>
          </cell>
          <cell r="AF552" t="str">
            <v>CALLAO</v>
          </cell>
        </row>
        <row r="553">
          <cell r="C553" t="str">
            <v>MF-029C/19</v>
          </cell>
          <cell r="E553" t="str">
            <v>OSMOCOTE PLUS 15-9-12 (9M)</v>
          </cell>
          <cell r="F553" t="str">
            <v>EVERRIS INTERNATIONAL B.V.</v>
          </cell>
          <cell r="P553">
            <v>3.6280000000000001</v>
          </cell>
          <cell r="R553" t="str">
            <v>CPT</v>
          </cell>
          <cell r="S553">
            <v>2354.0793825799337</v>
          </cell>
          <cell r="Y553">
            <v>43611</v>
          </cell>
          <cell r="AF553" t="str">
            <v>CALLAO</v>
          </cell>
        </row>
        <row r="554">
          <cell r="C554" t="str">
            <v>MF-029D/19</v>
          </cell>
          <cell r="E554" t="str">
            <v>OSMOCOTE CLASSIC 14-14-14 (4M)</v>
          </cell>
          <cell r="F554" t="str">
            <v>EVERRIS INTERNATIONAL B.V.</v>
          </cell>
          <cell r="P554">
            <v>14.51496</v>
          </cell>
          <cell r="R554" t="str">
            <v>CPT</v>
          </cell>
          <cell r="S554">
            <v>2588.6120251106445</v>
          </cell>
          <cell r="Y554">
            <v>43611</v>
          </cell>
          <cell r="AF554" t="str">
            <v>CALLAO</v>
          </cell>
        </row>
        <row r="555">
          <cell r="C555" t="str">
            <v>MF-029E/19</v>
          </cell>
          <cell r="E555" t="str">
            <v>OSMOCOTE PLUS 15-9-12 (4M)</v>
          </cell>
          <cell r="F555" t="str">
            <v>EVERRIS INTERNATIONAL B.V.</v>
          </cell>
          <cell r="P555">
            <v>18.143689999999999</v>
          </cell>
          <cell r="R555" t="str">
            <v>CPT</v>
          </cell>
          <cell r="S555">
            <v>2314.4685562859595</v>
          </cell>
          <cell r="Y555">
            <v>43611</v>
          </cell>
          <cell r="AF555" t="str">
            <v>CALLAO</v>
          </cell>
        </row>
        <row r="556">
          <cell r="C556" t="str">
            <v>MF-030A/19</v>
          </cell>
          <cell r="E556" t="str">
            <v>SULFATO DE MAGNESIO MONOHIDRATADO GRANULAR (KIESERITA)</v>
          </cell>
          <cell r="F556" t="str">
            <v>KEYTRADE</v>
          </cell>
          <cell r="P556">
            <v>1759.5</v>
          </cell>
          <cell r="R556" t="str">
            <v>CFR</v>
          </cell>
          <cell r="S556">
            <v>140</v>
          </cell>
          <cell r="Y556">
            <v>43612</v>
          </cell>
          <cell r="AF556" t="str">
            <v>CALLAO</v>
          </cell>
        </row>
        <row r="557">
          <cell r="C557" t="str">
            <v>MF-030B1/19</v>
          </cell>
          <cell r="E557" t="str">
            <v>SULFATO DE MAGNESIO MONOHIDRATADO GRANULAR (KIESERITA)</v>
          </cell>
          <cell r="F557" t="str">
            <v>KEYTRADE</v>
          </cell>
          <cell r="P557">
            <v>514.79999999999995</v>
          </cell>
          <cell r="R557" t="str">
            <v>CFR</v>
          </cell>
          <cell r="S557">
            <v>160</v>
          </cell>
          <cell r="Y557">
            <v>43599</v>
          </cell>
          <cell r="AF557" t="str">
            <v>PAITA</v>
          </cell>
        </row>
        <row r="558">
          <cell r="C558" t="str">
            <v>MF-030B2/19</v>
          </cell>
          <cell r="E558" t="str">
            <v>SULFATO DE MAGNESIO MONOHIDRATADO GRANULAR (KIESERITA)</v>
          </cell>
          <cell r="F558" t="str">
            <v>KEYTRADE</v>
          </cell>
          <cell r="P558">
            <v>486.2</v>
          </cell>
          <cell r="R558" t="str">
            <v>CFR</v>
          </cell>
          <cell r="S558">
            <v>160</v>
          </cell>
          <cell r="Y558">
            <v>43599</v>
          </cell>
          <cell r="AF558" t="str">
            <v>PAITA</v>
          </cell>
        </row>
        <row r="559">
          <cell r="C559" t="str">
            <v>MF-030B3/19</v>
          </cell>
          <cell r="E559" t="str">
            <v>SULFATO DE MAGNESIO MONOHIDRATADO GRANULAR (KIESERITA)</v>
          </cell>
          <cell r="F559" t="str">
            <v>KEYTRADE</v>
          </cell>
          <cell r="P559">
            <v>858</v>
          </cell>
          <cell r="R559" t="str">
            <v>CFR</v>
          </cell>
          <cell r="S559">
            <v>160</v>
          </cell>
          <cell r="Y559">
            <v>43623</v>
          </cell>
          <cell r="AF559" t="str">
            <v>PAITA</v>
          </cell>
        </row>
        <row r="560">
          <cell r="C560" t="str">
            <v>MF-030B4/19</v>
          </cell>
          <cell r="E560" t="str">
            <v>SULFATO DE MAGNESIO MONOHIDRATADO GRANULAR (KIESERITA)</v>
          </cell>
          <cell r="F560" t="str">
            <v>KEYTRADE</v>
          </cell>
          <cell r="P560">
            <v>114.4</v>
          </cell>
          <cell r="R560" t="str">
            <v>CFR</v>
          </cell>
          <cell r="S560">
            <v>160</v>
          </cell>
          <cell r="Y560">
            <v>43623</v>
          </cell>
          <cell r="AF560" t="str">
            <v>PAITA</v>
          </cell>
        </row>
        <row r="561">
          <cell r="C561" t="str">
            <v>MF-031A/19</v>
          </cell>
          <cell r="E561" t="str">
            <v>SAL DOBLE DE NITRATO DE CALCIO Y AMONIO</v>
          </cell>
          <cell r="F561" t="str">
            <v>KEYTRADE</v>
          </cell>
          <cell r="P561">
            <v>1176</v>
          </cell>
          <cell r="R561" t="str">
            <v>CFR</v>
          </cell>
          <cell r="S561">
            <v>247</v>
          </cell>
          <cell r="Y561">
            <v>43589</v>
          </cell>
          <cell r="AF561" t="str">
            <v>CALLAO</v>
          </cell>
        </row>
        <row r="562">
          <cell r="C562" t="str">
            <v>MF-031B/19</v>
          </cell>
          <cell r="E562" t="str">
            <v>SAL DOBLE DE NITRATO DE CALCIO Y AMONIO</v>
          </cell>
          <cell r="F562" t="str">
            <v>KEYTRADE</v>
          </cell>
          <cell r="P562">
            <v>448</v>
          </cell>
          <cell r="R562" t="str">
            <v>CFR</v>
          </cell>
          <cell r="S562">
            <v>252</v>
          </cell>
          <cell r="Y562">
            <v>43591</v>
          </cell>
          <cell r="AF562" t="str">
            <v>PAITA</v>
          </cell>
        </row>
        <row r="563">
          <cell r="C563" t="str">
            <v>MF-032A/19</v>
          </cell>
          <cell r="E563" t="str">
            <v>SULFATO DE POTASIO SOLUBLE</v>
          </cell>
          <cell r="F563" t="str">
            <v>KEYTRADE</v>
          </cell>
          <cell r="P563">
            <v>400</v>
          </cell>
          <cell r="R563" t="str">
            <v>CFR</v>
          </cell>
          <cell r="S563">
            <v>523.5</v>
          </cell>
          <cell r="Y563">
            <v>43602</v>
          </cell>
          <cell r="AF563" t="str">
            <v>CALLAO</v>
          </cell>
        </row>
        <row r="564">
          <cell r="C564" t="str">
            <v>MF-032B1/19</v>
          </cell>
          <cell r="E564" t="str">
            <v>SULFATO DE POTASIO SOLUBLE</v>
          </cell>
          <cell r="F564" t="str">
            <v>KEYTRADE</v>
          </cell>
          <cell r="P564">
            <v>500</v>
          </cell>
          <cell r="R564" t="str">
            <v>CFR</v>
          </cell>
          <cell r="S564">
            <v>528.5</v>
          </cell>
          <cell r="Y564">
            <v>43606</v>
          </cell>
          <cell r="AF564" t="str">
            <v>PAITA</v>
          </cell>
        </row>
        <row r="565">
          <cell r="C565" t="str">
            <v>MF-032B2/19</v>
          </cell>
          <cell r="E565" t="str">
            <v>SULFATO DE POTASIO SOLUBLE</v>
          </cell>
          <cell r="F565" t="str">
            <v>KEYTRADE</v>
          </cell>
          <cell r="P565">
            <v>500</v>
          </cell>
          <cell r="R565" t="str">
            <v>CFR</v>
          </cell>
          <cell r="S565">
            <v>528.5</v>
          </cell>
          <cell r="Y565">
            <v>43620</v>
          </cell>
          <cell r="AF565" t="str">
            <v>PAITA</v>
          </cell>
        </row>
        <row r="566">
          <cell r="C566" t="str">
            <v>MF-032B3/19</v>
          </cell>
          <cell r="E566" t="str">
            <v>SULFATO DE POTASIO SOLUBLE</v>
          </cell>
          <cell r="F566" t="str">
            <v>KEYTRADE</v>
          </cell>
          <cell r="P566">
            <v>450</v>
          </cell>
          <cell r="R566" t="str">
            <v>CFR</v>
          </cell>
          <cell r="S566">
            <v>528.5</v>
          </cell>
          <cell r="Y566">
            <v>43634</v>
          </cell>
          <cell r="AF566" t="str">
            <v>PAITA</v>
          </cell>
        </row>
        <row r="567">
          <cell r="C567" t="str">
            <v>MF-032B4/19</v>
          </cell>
          <cell r="E567" t="str">
            <v>SULFATO DE POTASIO SOLUBLE</v>
          </cell>
          <cell r="F567" t="str">
            <v>KEYTRADE</v>
          </cell>
          <cell r="P567">
            <v>850</v>
          </cell>
          <cell r="R567" t="str">
            <v>CFR</v>
          </cell>
          <cell r="S567">
            <v>528.5</v>
          </cell>
          <cell r="Y567">
            <v>43634</v>
          </cell>
          <cell r="AF567" t="str">
            <v>PAITA</v>
          </cell>
        </row>
        <row r="568">
          <cell r="C568" t="str">
            <v>MF-033A/19</v>
          </cell>
          <cell r="E568" t="str">
            <v>NITRATO DE POTASIO CRISTALIZADO</v>
          </cell>
          <cell r="F568" t="str">
            <v>KEYTRADE</v>
          </cell>
          <cell r="P568">
            <v>540</v>
          </cell>
          <cell r="R568" t="str">
            <v>CFR</v>
          </cell>
          <cell r="S568">
            <v>765</v>
          </cell>
          <cell r="Y568">
            <v>43586</v>
          </cell>
          <cell r="AF568" t="str">
            <v>CALLAO</v>
          </cell>
        </row>
        <row r="569">
          <cell r="C569" t="str">
            <v>MF-033B/19</v>
          </cell>
          <cell r="E569" t="str">
            <v>NITRATO DE POTASIO CRISTALIZADO</v>
          </cell>
          <cell r="F569" t="str">
            <v>KEYTRADE</v>
          </cell>
          <cell r="P569">
            <v>756</v>
          </cell>
          <cell r="R569" t="str">
            <v>CFR</v>
          </cell>
          <cell r="S569">
            <v>775</v>
          </cell>
          <cell r="Y569">
            <v>43591</v>
          </cell>
          <cell r="AF569" t="str">
            <v>PAITA</v>
          </cell>
        </row>
        <row r="570">
          <cell r="C570" t="str">
            <v>MF-034/19</v>
          </cell>
          <cell r="E570" t="str">
            <v>CR - MAG BIGBAG</v>
          </cell>
          <cell r="F570" t="str">
            <v>TIMAB</v>
          </cell>
          <cell r="P570">
            <v>100</v>
          </cell>
          <cell r="R570" t="str">
            <v>CIF</v>
          </cell>
          <cell r="S570">
            <v>340</v>
          </cell>
          <cell r="Y570">
            <v>43612</v>
          </cell>
          <cell r="AF570" t="str">
            <v>CALLAO</v>
          </cell>
        </row>
        <row r="571">
          <cell r="C571" t="str">
            <v>MF-035A/19</v>
          </cell>
          <cell r="E571" t="str">
            <v>MICROELEMENTO SFERA 4 - 50KG</v>
          </cell>
          <cell r="F571" t="str">
            <v>MANTTRA AMERICAS</v>
          </cell>
          <cell r="P571">
            <v>52</v>
          </cell>
          <cell r="R571" t="str">
            <v>CFR</v>
          </cell>
          <cell r="S571">
            <v>280</v>
          </cell>
          <cell r="Y571">
            <v>43560</v>
          </cell>
          <cell r="AF571" t="str">
            <v>CALLAO</v>
          </cell>
        </row>
        <row r="572">
          <cell r="C572" t="str">
            <v>MF-035B/19</v>
          </cell>
          <cell r="E572" t="str">
            <v>MICROELEMENTO SFERA 4 - 50KG</v>
          </cell>
          <cell r="F572" t="str">
            <v>MANTTRA AMERICAS</v>
          </cell>
          <cell r="P572">
            <v>52</v>
          </cell>
          <cell r="R572" t="str">
            <v>CFR</v>
          </cell>
          <cell r="S572">
            <v>286</v>
          </cell>
          <cell r="Y572">
            <v>43570</v>
          </cell>
          <cell r="AF572" t="str">
            <v>PAITA</v>
          </cell>
        </row>
        <row r="573">
          <cell r="C573" t="str">
            <v>MF-036A/19</v>
          </cell>
          <cell r="E573" t="str">
            <v>NATURDAI MIMETIC X 1L</v>
          </cell>
          <cell r="F573" t="str">
            <v>IDAI NATURE</v>
          </cell>
          <cell r="P573">
            <v>0.79200000000000004</v>
          </cell>
          <cell r="R573" t="str">
            <v>CIF</v>
          </cell>
          <cell r="S573">
            <v>18671.229892761392</v>
          </cell>
          <cell r="Y573">
            <v>43585</v>
          </cell>
          <cell r="AF573" t="str">
            <v>CALLAO</v>
          </cell>
        </row>
        <row r="574">
          <cell r="C574" t="str">
            <v>MF-036B/19</v>
          </cell>
          <cell r="E574" t="str">
            <v>NATURDAI MIMETIC X 5L</v>
          </cell>
          <cell r="F574" t="str">
            <v>IDAI NATURE</v>
          </cell>
          <cell r="P574">
            <v>1</v>
          </cell>
          <cell r="R574" t="str">
            <v>CIF</v>
          </cell>
          <cell r="S574">
            <v>17471.229892761396</v>
          </cell>
          <cell r="Y574">
            <v>43585</v>
          </cell>
          <cell r="AF574" t="str">
            <v>CALLAO</v>
          </cell>
        </row>
        <row r="575">
          <cell r="C575" t="str">
            <v>MF-036C/19</v>
          </cell>
          <cell r="E575" t="str">
            <v>BIPOCLEAN X 25KG</v>
          </cell>
          <cell r="F575" t="str">
            <v>IDAI NATURE</v>
          </cell>
          <cell r="P575">
            <v>1.2</v>
          </cell>
          <cell r="R575" t="str">
            <v>CIF</v>
          </cell>
          <cell r="S575">
            <v>4721.2298927613938</v>
          </cell>
          <cell r="Y575">
            <v>43585</v>
          </cell>
          <cell r="AF575" t="str">
            <v>CALLAO</v>
          </cell>
        </row>
        <row r="576">
          <cell r="C576" t="str">
            <v>MF-036D/19</v>
          </cell>
          <cell r="E576" t="str">
            <v>VEGEX FOS SOAP X 1L</v>
          </cell>
          <cell r="F576" t="str">
            <v>IDAI NATURE</v>
          </cell>
          <cell r="P576">
            <v>0.79200000000000004</v>
          </cell>
          <cell r="R576" t="str">
            <v>CIF</v>
          </cell>
          <cell r="S576">
            <v>6771.2298927613947</v>
          </cell>
          <cell r="Y576">
            <v>43585</v>
          </cell>
          <cell r="AF576" t="str">
            <v>CALLAO</v>
          </cell>
        </row>
        <row r="577">
          <cell r="C577" t="str">
            <v>MF-036E/19</v>
          </cell>
          <cell r="E577" t="str">
            <v>VEGEX FOS SOAP X 5L</v>
          </cell>
          <cell r="F577" t="str">
            <v>IDAI NATURE</v>
          </cell>
          <cell r="P577">
            <v>1</v>
          </cell>
          <cell r="R577" t="str">
            <v>CIF</v>
          </cell>
          <cell r="S577">
            <v>5571.2298927613938</v>
          </cell>
          <cell r="Y577">
            <v>43585</v>
          </cell>
          <cell r="AF577" t="str">
            <v>CALLAO</v>
          </cell>
        </row>
        <row r="578">
          <cell r="C578" t="str">
            <v>MF-036F/19</v>
          </cell>
          <cell r="E578" t="str">
            <v>VEGEX CRISOIL X 1L</v>
          </cell>
          <cell r="F578" t="str">
            <v>IDAI NATURE</v>
          </cell>
          <cell r="P578">
            <v>1.5840000000000001</v>
          </cell>
          <cell r="R578" t="str">
            <v>CIF</v>
          </cell>
          <cell r="S578">
            <v>48271.229892761388</v>
          </cell>
          <cell r="Y578">
            <v>43585</v>
          </cell>
          <cell r="AF578" t="str">
            <v>CALLAO</v>
          </cell>
        </row>
        <row r="579">
          <cell r="C579" t="str">
            <v>MF-036G/19</v>
          </cell>
          <cell r="E579" t="str">
            <v>VEGEX KUNEKA PLUS X 1L</v>
          </cell>
          <cell r="F579" t="str">
            <v>IDAI NATURE</v>
          </cell>
          <cell r="P579">
            <v>0.79200000000000004</v>
          </cell>
          <cell r="R579" t="str">
            <v>CIF</v>
          </cell>
          <cell r="S579">
            <v>21421.229892761392</v>
          </cell>
          <cell r="Y579">
            <v>43585</v>
          </cell>
          <cell r="AF579" t="str">
            <v>CALLAO</v>
          </cell>
        </row>
        <row r="580">
          <cell r="C580" t="str">
            <v>MF-036H/19</v>
          </cell>
          <cell r="E580" t="str">
            <v>VEGEX KUNEKA PLUS X 5L</v>
          </cell>
          <cell r="F580" t="str">
            <v>IDAI NATURE</v>
          </cell>
          <cell r="P580">
            <v>1</v>
          </cell>
          <cell r="R580" t="str">
            <v>CIF</v>
          </cell>
          <cell r="S580">
            <v>20221.229892761396</v>
          </cell>
          <cell r="Y580">
            <v>43585</v>
          </cell>
          <cell r="AF580" t="str">
            <v>CALLAO</v>
          </cell>
        </row>
        <row r="581">
          <cell r="C581" t="str">
            <v>MF-036I/19</v>
          </cell>
          <cell r="E581" t="str">
            <v>VEGEX SOILNET X 1L</v>
          </cell>
          <cell r="F581" t="str">
            <v>IDAI NATURE</v>
          </cell>
          <cell r="P581">
            <v>0.79200000000000004</v>
          </cell>
          <cell r="R581" t="str">
            <v>CIF</v>
          </cell>
          <cell r="S581">
            <v>22571.229892761399</v>
          </cell>
          <cell r="Y581">
            <v>43585</v>
          </cell>
          <cell r="AF581" t="str">
            <v>CALLAO</v>
          </cell>
        </row>
        <row r="582">
          <cell r="C582" t="str">
            <v>MF-037/19</v>
          </cell>
          <cell r="E582" t="str">
            <v>FOSFATO MONOAMÓNICO CRISTALIZADO (MX)</v>
          </cell>
          <cell r="F582" t="str">
            <v>NITRON GROUP LLC</v>
          </cell>
          <cell r="P582">
            <v>60</v>
          </cell>
          <cell r="R582" t="str">
            <v>CFR</v>
          </cell>
          <cell r="S582">
            <v>945</v>
          </cell>
          <cell r="Y582">
            <v>43620</v>
          </cell>
          <cell r="AF582" t="str">
            <v>MATARANI</v>
          </cell>
        </row>
        <row r="583">
          <cell r="C583" t="str">
            <v>MF-038/19</v>
          </cell>
          <cell r="E583" t="str">
            <v>NITRATO DE MAGNESIO HEXAHIDRATADO</v>
          </cell>
          <cell r="F583" t="str">
            <v>KEYTRADE</v>
          </cell>
          <cell r="P583">
            <v>110</v>
          </cell>
          <cell r="R583" t="str">
            <v>CFR</v>
          </cell>
          <cell r="S583">
            <v>304</v>
          </cell>
          <cell r="Y583">
            <v>43623</v>
          </cell>
          <cell r="AF583" t="str">
            <v>MATARANI</v>
          </cell>
        </row>
        <row r="584">
          <cell r="C584" t="str">
            <v>MF-039/19</v>
          </cell>
          <cell r="E584" t="str">
            <v>SAL DOBLE DE NITRATO DE CALCIO Y AMONIO</v>
          </cell>
          <cell r="F584" t="str">
            <v>KEYTRADE</v>
          </cell>
          <cell r="P584">
            <v>212.5</v>
          </cell>
          <cell r="R584" t="str">
            <v>CFR</v>
          </cell>
          <cell r="S584">
            <v>269</v>
          </cell>
          <cell r="Y584">
            <v>43623</v>
          </cell>
          <cell r="AF584" t="str">
            <v>MATARANI</v>
          </cell>
        </row>
        <row r="585">
          <cell r="C585" t="str">
            <v>MF-040/19</v>
          </cell>
          <cell r="E585" t="str">
            <v>NITRATO DE POTASIO CRISTALIZADO</v>
          </cell>
          <cell r="F585" t="str">
            <v>KEYTRADE</v>
          </cell>
          <cell r="P585">
            <v>162</v>
          </cell>
          <cell r="R585" t="str">
            <v>CFR</v>
          </cell>
          <cell r="S585">
            <v>788</v>
          </cell>
          <cell r="Y585">
            <v>43637</v>
          </cell>
          <cell r="AF585" t="str">
            <v>MATARANI</v>
          </cell>
        </row>
        <row r="586">
          <cell r="C586" t="str">
            <v>MF-041A1/19</v>
          </cell>
          <cell r="E586" t="str">
            <v>UREA PERLADA</v>
          </cell>
          <cell r="F586" t="str">
            <v>AMEROPA</v>
          </cell>
          <cell r="P586">
            <v>1010.487</v>
          </cell>
          <cell r="R586" t="str">
            <v>CFR</v>
          </cell>
          <cell r="S586">
            <v>275.94</v>
          </cell>
          <cell r="Y586">
            <v>43605</v>
          </cell>
          <cell r="AF586" t="str">
            <v>PAITA</v>
          </cell>
        </row>
        <row r="587">
          <cell r="C587" t="str">
            <v>MF-041A2/19</v>
          </cell>
          <cell r="E587" t="str">
            <v>UREA PERLADA</v>
          </cell>
          <cell r="F587" t="str">
            <v>AMEROPA</v>
          </cell>
          <cell r="P587">
            <v>1089.5129999999999</v>
          </cell>
          <cell r="R587" t="str">
            <v>CFR</v>
          </cell>
          <cell r="S587">
            <v>275.94</v>
          </cell>
          <cell r="Y587">
            <v>43605</v>
          </cell>
          <cell r="AF587" t="str">
            <v>PAITA</v>
          </cell>
        </row>
        <row r="588">
          <cell r="C588" t="str">
            <v>MF-041B/19</v>
          </cell>
          <cell r="E588" t="str">
            <v>UREA PERLADA</v>
          </cell>
          <cell r="F588" t="str">
            <v>AMEROPA</v>
          </cell>
          <cell r="P588">
            <v>2900</v>
          </cell>
          <cell r="R588" t="str">
            <v>CFR</v>
          </cell>
          <cell r="S588">
            <v>275.94</v>
          </cell>
          <cell r="Y588">
            <v>43611</v>
          </cell>
          <cell r="AF588" t="str">
            <v>SALAVERRY</v>
          </cell>
        </row>
        <row r="589">
          <cell r="C589" t="str">
            <v>MF-041C1/19</v>
          </cell>
          <cell r="E589" t="str">
            <v>UREA PERLADA</v>
          </cell>
          <cell r="F589" t="str">
            <v>AMEROPA</v>
          </cell>
          <cell r="P589">
            <v>2700</v>
          </cell>
          <cell r="R589" t="str">
            <v>CFR</v>
          </cell>
          <cell r="S589">
            <v>275.94</v>
          </cell>
          <cell r="Y589">
            <v>43617</v>
          </cell>
          <cell r="AF589" t="str">
            <v>CALLAO</v>
          </cell>
        </row>
        <row r="590">
          <cell r="C590" t="str">
            <v>MF-041C2/19</v>
          </cell>
          <cell r="E590" t="str">
            <v>UREA PERLADA</v>
          </cell>
          <cell r="F590" t="str">
            <v>AMEROPA</v>
          </cell>
          <cell r="P590">
            <v>900</v>
          </cell>
          <cell r="R590" t="str">
            <v>CFR</v>
          </cell>
          <cell r="S590">
            <v>275.94</v>
          </cell>
          <cell r="Y590">
            <v>43617</v>
          </cell>
          <cell r="AF590" t="str">
            <v>CALLAO</v>
          </cell>
        </row>
        <row r="591">
          <cell r="C591" t="str">
            <v>MF-041D/19</v>
          </cell>
          <cell r="E591" t="str">
            <v>UREA PERLADA</v>
          </cell>
          <cell r="F591" t="str">
            <v>AMEROPA</v>
          </cell>
          <cell r="P591">
            <v>1850</v>
          </cell>
          <cell r="R591" t="str">
            <v>CFR</v>
          </cell>
          <cell r="S591">
            <v>275.94</v>
          </cell>
          <cell r="Y591">
            <v>43621</v>
          </cell>
          <cell r="AF591" t="str">
            <v>MATARANI</v>
          </cell>
        </row>
        <row r="592">
          <cell r="C592" t="str">
            <v>MF-042A/19</v>
          </cell>
          <cell r="E592" t="str">
            <v>SULFATO DE AMONIO BLANCO ESTÁNDAR</v>
          </cell>
          <cell r="F592" t="str">
            <v>GAVILON</v>
          </cell>
          <cell r="P592">
            <v>2890</v>
          </cell>
          <cell r="R592" t="str">
            <v>CFR</v>
          </cell>
          <cell r="S592">
            <v>147</v>
          </cell>
          <cell r="Y592">
            <v>43604</v>
          </cell>
          <cell r="AF592" t="str">
            <v>PAITA</v>
          </cell>
        </row>
        <row r="593">
          <cell r="C593" t="str">
            <v>MF-042B/19</v>
          </cell>
          <cell r="E593" t="str">
            <v>SULFATO DE AMONIO BLANCO ESTÁNDAR</v>
          </cell>
          <cell r="F593" t="str">
            <v>GAVILON</v>
          </cell>
          <cell r="P593">
            <v>2900</v>
          </cell>
          <cell r="R593" t="str">
            <v>CFR</v>
          </cell>
          <cell r="S593">
            <v>147</v>
          </cell>
          <cell r="Y593">
            <v>43610</v>
          </cell>
          <cell r="AF593" t="str">
            <v>SALAVERRY</v>
          </cell>
        </row>
        <row r="594">
          <cell r="C594" t="str">
            <v>MF-042C/19</v>
          </cell>
          <cell r="E594" t="str">
            <v>SULFATO DE AMONIO BLANCO ESTÁNDAR</v>
          </cell>
          <cell r="F594" t="str">
            <v>GAVILON</v>
          </cell>
          <cell r="P594">
            <v>600</v>
          </cell>
          <cell r="R594" t="str">
            <v>CFR</v>
          </cell>
          <cell r="S594">
            <v>147</v>
          </cell>
          <cell r="Y594">
            <v>43619</v>
          </cell>
          <cell r="AF594" t="str">
            <v>MATARANI</v>
          </cell>
        </row>
        <row r="595">
          <cell r="C595" t="str">
            <v>MF-043A/19</v>
          </cell>
          <cell r="E595" t="str">
            <v>FOSFATO DIAMÓNICO GRANULAR</v>
          </cell>
          <cell r="F595" t="str">
            <v>GAVILON</v>
          </cell>
          <cell r="P595">
            <v>450</v>
          </cell>
          <cell r="R595" t="str">
            <v>CFR</v>
          </cell>
          <cell r="S595">
            <v>420</v>
          </cell>
          <cell r="Y595">
            <v>43604</v>
          </cell>
          <cell r="AF595" t="str">
            <v>PAITA</v>
          </cell>
        </row>
        <row r="596">
          <cell r="C596" t="str">
            <v>MF-043B/19</v>
          </cell>
          <cell r="E596" t="str">
            <v>FOSFATO DIAMÓNICO GRANULAR</v>
          </cell>
          <cell r="F596" t="str">
            <v>GAVILON</v>
          </cell>
          <cell r="P596">
            <v>600</v>
          </cell>
          <cell r="R596" t="str">
            <v>CFR</v>
          </cell>
          <cell r="S596">
            <v>420</v>
          </cell>
          <cell r="Y596">
            <v>43610</v>
          </cell>
          <cell r="AF596" t="str">
            <v>SALAVERRY</v>
          </cell>
        </row>
        <row r="597">
          <cell r="C597" t="str">
            <v>MF-043C/19</v>
          </cell>
          <cell r="E597" t="str">
            <v>FOSFATO DIAMÓNICO GRANULAR</v>
          </cell>
          <cell r="F597" t="str">
            <v>GAVILON</v>
          </cell>
          <cell r="P597">
            <v>1900</v>
          </cell>
          <cell r="R597" t="str">
            <v>CFR</v>
          </cell>
          <cell r="S597">
            <v>420</v>
          </cell>
          <cell r="Y597">
            <v>43616</v>
          </cell>
          <cell r="AF597" t="str">
            <v>CALLAO</v>
          </cell>
        </row>
        <row r="598">
          <cell r="C598" t="str">
            <v>MF-043D/19</v>
          </cell>
          <cell r="E598" t="str">
            <v>FOSFATO DIAMÓNICO GRANULAR</v>
          </cell>
          <cell r="F598" t="str">
            <v>GAVILON</v>
          </cell>
          <cell r="P598">
            <v>1900</v>
          </cell>
          <cell r="R598" t="str">
            <v>CFR</v>
          </cell>
          <cell r="S598">
            <v>420</v>
          </cell>
          <cell r="Y598">
            <v>43619</v>
          </cell>
          <cell r="AF598" t="str">
            <v>MATARANI</v>
          </cell>
        </row>
        <row r="599">
          <cell r="C599" t="str">
            <v>MF-044A/19</v>
          </cell>
          <cell r="E599" t="str">
            <v>SULFATO DE POTASIO SOLUBLE</v>
          </cell>
          <cell r="F599" t="str">
            <v>KEYTRADE</v>
          </cell>
          <cell r="P599">
            <v>800</v>
          </cell>
          <cell r="R599" t="str">
            <v>CPT</v>
          </cell>
          <cell r="S599">
            <v>515</v>
          </cell>
          <cell r="Y599">
            <v>43624</v>
          </cell>
          <cell r="AF599" t="str">
            <v>CALLAO</v>
          </cell>
        </row>
        <row r="600">
          <cell r="C600" t="str">
            <v>MF-044B/19</v>
          </cell>
          <cell r="E600" t="str">
            <v>SULFATO DE POTASIO SOLUBLE</v>
          </cell>
          <cell r="F600" t="str">
            <v>KEYTRADE</v>
          </cell>
          <cell r="P600">
            <v>400</v>
          </cell>
          <cell r="R600" t="str">
            <v>CPT</v>
          </cell>
          <cell r="S600">
            <v>530</v>
          </cell>
          <cell r="Y600">
            <v>43641</v>
          </cell>
          <cell r="AF600" t="str">
            <v>PAITA</v>
          </cell>
        </row>
        <row r="601">
          <cell r="C601" t="str">
            <v>MF-045/19</v>
          </cell>
          <cell r="E601" t="str">
            <v xml:space="preserve">SULFATO DE MAGNESIO HEPTAHIDRATADO </v>
          </cell>
          <cell r="F601" t="str">
            <v>STAR GRACE MINING CO.,LTD</v>
          </cell>
          <cell r="P601">
            <v>600</v>
          </cell>
          <cell r="R601" t="str">
            <v>CFR</v>
          </cell>
          <cell r="S601">
            <v>123</v>
          </cell>
          <cell r="Y601">
            <v>43658</v>
          </cell>
          <cell r="AF601" t="str">
            <v>CALLAO</v>
          </cell>
        </row>
        <row r="602">
          <cell r="C602" t="str">
            <v>MF-046A/19</v>
          </cell>
          <cell r="E602" t="str">
            <v>ÁCIDO FOSFÓRICO</v>
          </cell>
          <cell r="F602" t="str">
            <v>NITRON GROUP LLC</v>
          </cell>
          <cell r="P602">
            <v>312</v>
          </cell>
          <cell r="R602" t="str">
            <v>CFR</v>
          </cell>
          <cell r="S602">
            <v>879</v>
          </cell>
          <cell r="Y602">
            <v>43669</v>
          </cell>
          <cell r="AF602" t="str">
            <v>CALLAO</v>
          </cell>
        </row>
        <row r="603">
          <cell r="C603" t="str">
            <v>MF-046B1/19</v>
          </cell>
          <cell r="E603" t="str">
            <v>ÁCIDO FOSFÓRICO</v>
          </cell>
          <cell r="F603" t="str">
            <v>NITRON GROUP LLC</v>
          </cell>
          <cell r="P603">
            <v>240</v>
          </cell>
          <cell r="R603" t="str">
            <v>CFR</v>
          </cell>
          <cell r="S603">
            <v>889</v>
          </cell>
          <cell r="Y603">
            <v>43686</v>
          </cell>
          <cell r="AF603" t="str">
            <v>PAITA</v>
          </cell>
        </row>
        <row r="604">
          <cell r="C604" t="str">
            <v>MF-046B2/19</v>
          </cell>
          <cell r="E604" t="str">
            <v>ÁCIDO FOSFÓRICO</v>
          </cell>
          <cell r="F604" t="str">
            <v>NITRON GROUP LLC</v>
          </cell>
          <cell r="P604">
            <v>264</v>
          </cell>
          <cell r="R604" t="str">
            <v>CFR</v>
          </cell>
          <cell r="S604">
            <v>889</v>
          </cell>
          <cell r="Y604">
            <v>43695</v>
          </cell>
          <cell r="AF604" t="str">
            <v>PAITA</v>
          </cell>
        </row>
        <row r="605">
          <cell r="C605" t="str">
            <v>MF-047A1/19</v>
          </cell>
          <cell r="E605" t="str">
            <v>ÁCIDO FOSFÓRICO</v>
          </cell>
          <cell r="F605" t="str">
            <v>NEW CHINA CHEMICALS CO., LTD.</v>
          </cell>
          <cell r="P605">
            <v>155.4</v>
          </cell>
          <cell r="R605" t="str">
            <v>CIF</v>
          </cell>
          <cell r="S605">
            <v>875</v>
          </cell>
          <cell r="Y605">
            <v>43644</v>
          </cell>
          <cell r="AF605" t="str">
            <v>CALLAO</v>
          </cell>
        </row>
        <row r="606">
          <cell r="C606" t="str">
            <v>MF-047B1/19</v>
          </cell>
          <cell r="E606" t="str">
            <v>ÁCIDO FOSFÓRICO</v>
          </cell>
          <cell r="F606" t="str">
            <v>NEW CHINA CHEMICALS CO., LTD.</v>
          </cell>
          <cell r="P606">
            <v>362.6</v>
          </cell>
          <cell r="R606" t="str">
            <v>CIF</v>
          </cell>
          <cell r="S606">
            <v>885</v>
          </cell>
          <cell r="Y606">
            <v>43658</v>
          </cell>
          <cell r="AF606" t="str">
            <v>PAITA</v>
          </cell>
        </row>
        <row r="607">
          <cell r="C607" t="str">
            <v>MF-047A2/19</v>
          </cell>
          <cell r="E607" t="str">
            <v>ÁCIDO FOSFÓRICO</v>
          </cell>
          <cell r="F607" t="str">
            <v>NEW CHINA CHEMICALS CO., LTD.</v>
          </cell>
          <cell r="P607">
            <v>207.2</v>
          </cell>
          <cell r="R607" t="str">
            <v>CIF</v>
          </cell>
          <cell r="S607">
            <v>875</v>
          </cell>
          <cell r="Y607">
            <v>43672</v>
          </cell>
          <cell r="AF607" t="str">
            <v>CALLAO</v>
          </cell>
        </row>
        <row r="608">
          <cell r="C608" t="str">
            <v>MF-047B2/19</v>
          </cell>
          <cell r="E608" t="str">
            <v>ÁCIDO FOSFÓRICO</v>
          </cell>
          <cell r="F608" t="str">
            <v>NEW CHINA CHEMICALS CO., LTD.</v>
          </cell>
          <cell r="P608">
            <v>310.8</v>
          </cell>
          <cell r="R608" t="str">
            <v>CIF</v>
          </cell>
          <cell r="S608">
            <v>885</v>
          </cell>
          <cell r="Y608">
            <v>43726</v>
          </cell>
          <cell r="AF608" t="str">
            <v>PAITA</v>
          </cell>
        </row>
        <row r="609">
          <cell r="C609" t="str">
            <v>MF-048/19</v>
          </cell>
          <cell r="E609" t="str">
            <v>FOSFATO MONOAMÓNICO CRISTALIZADO</v>
          </cell>
          <cell r="F609" t="str">
            <v>KEYTRADE</v>
          </cell>
          <cell r="P609">
            <v>400</v>
          </cell>
          <cell r="R609" t="str">
            <v>CPT</v>
          </cell>
          <cell r="S609">
            <v>640</v>
          </cell>
          <cell r="Y609">
            <v>43657</v>
          </cell>
          <cell r="AF609" t="str">
            <v>CALLAO</v>
          </cell>
        </row>
        <row r="610">
          <cell r="C610" t="str">
            <v>MF-049/19</v>
          </cell>
          <cell r="E610" t="str">
            <v>NITRATO DE MAGNESIO HEXAHIDRATADO</v>
          </cell>
          <cell r="F610" t="str">
            <v>KEYTRADE</v>
          </cell>
          <cell r="P610">
            <v>84</v>
          </cell>
          <cell r="R610" t="str">
            <v>CPT</v>
          </cell>
          <cell r="S610">
            <v>297</v>
          </cell>
          <cell r="Y610">
            <v>43691</v>
          </cell>
          <cell r="AF610" t="str">
            <v>PAITA</v>
          </cell>
        </row>
        <row r="611">
          <cell r="C611" t="str">
            <v>MF-050/19</v>
          </cell>
          <cell r="E611" t="str">
            <v>BROWN AGRONYL CR X 20KG</v>
          </cell>
          <cell r="F611" t="str">
            <v>LUENGO COLOR, SLU</v>
          </cell>
          <cell r="P611">
            <v>0.5</v>
          </cell>
          <cell r="R611" t="str">
            <v>CIF</v>
          </cell>
          <cell r="S611">
            <v>3933.5</v>
          </cell>
          <cell r="Y611">
            <v>43634</v>
          </cell>
          <cell r="AF611" t="str">
            <v>CALLAO</v>
          </cell>
        </row>
        <row r="612">
          <cell r="C612" t="str">
            <v>MF-051A/19</v>
          </cell>
          <cell r="E612" t="str">
            <v>UREA PERLADA</v>
          </cell>
          <cell r="F612" t="str">
            <v>PHOSAGRO (MITSUI)</v>
          </cell>
          <cell r="P612">
            <v>1950</v>
          </cell>
          <cell r="R612" t="str">
            <v>CFR</v>
          </cell>
          <cell r="S612">
            <v>286.05</v>
          </cell>
          <cell r="Y612">
            <v>43667</v>
          </cell>
          <cell r="AF612" t="str">
            <v>PAITA</v>
          </cell>
        </row>
        <row r="613">
          <cell r="C613" t="str">
            <v>MF-051B/19</v>
          </cell>
          <cell r="E613" t="str">
            <v>UREA PERLADA</v>
          </cell>
          <cell r="F613" t="str">
            <v>PHOSAGRO (MITSUI)</v>
          </cell>
          <cell r="P613">
            <v>1700</v>
          </cell>
          <cell r="R613" t="str">
            <v>CFR</v>
          </cell>
          <cell r="S613">
            <v>286.05</v>
          </cell>
          <cell r="Y613">
            <v>43669</v>
          </cell>
          <cell r="AF613" t="str">
            <v>SALAVERRY</v>
          </cell>
        </row>
        <row r="614">
          <cell r="C614" t="str">
            <v>MF-051C/19</v>
          </cell>
          <cell r="E614" t="str">
            <v>UREA PERLADA</v>
          </cell>
          <cell r="F614" t="str">
            <v>PHOSAGRO (MITSUI)</v>
          </cell>
          <cell r="P614">
            <v>1450</v>
          </cell>
          <cell r="R614" t="str">
            <v>CFR</v>
          </cell>
          <cell r="S614">
            <v>286.05</v>
          </cell>
          <cell r="Y614">
            <v>43673</v>
          </cell>
          <cell r="AF614" t="str">
            <v>CALLAO</v>
          </cell>
        </row>
        <row r="615">
          <cell r="C615" t="str">
            <v>MF-051D/19</v>
          </cell>
          <cell r="E615" t="str">
            <v>UREA PERLADA</v>
          </cell>
          <cell r="F615" t="str">
            <v>PHOSAGRO (MITSUI)</v>
          </cell>
          <cell r="P615">
            <v>1050</v>
          </cell>
          <cell r="R615" t="str">
            <v>CFR</v>
          </cell>
          <cell r="S615">
            <v>286.05</v>
          </cell>
          <cell r="Y615">
            <v>43677</v>
          </cell>
          <cell r="AF615" t="str">
            <v>CALLAO</v>
          </cell>
        </row>
        <row r="616">
          <cell r="C616" t="str">
            <v>MF-052A/19</v>
          </cell>
          <cell r="E616" t="str">
            <v>UREA GRANULADA</v>
          </cell>
          <cell r="F616" t="str">
            <v>PHOSAGRO (MITSUI)</v>
          </cell>
          <cell r="P616">
            <v>990</v>
          </cell>
          <cell r="R616" t="str">
            <v>CFR</v>
          </cell>
          <cell r="S616">
            <v>291.13</v>
          </cell>
          <cell r="Y616">
            <v>43667</v>
          </cell>
          <cell r="AF616" t="str">
            <v>PAITA</v>
          </cell>
        </row>
        <row r="617">
          <cell r="C617" t="str">
            <v>MF-052B/19</v>
          </cell>
          <cell r="E617" t="str">
            <v>UREA GRANULADA</v>
          </cell>
          <cell r="F617" t="str">
            <v>PHOSAGRO (MITSUI)</v>
          </cell>
          <cell r="P617">
            <v>1320</v>
          </cell>
          <cell r="R617" t="str">
            <v>CFR</v>
          </cell>
          <cell r="S617">
            <v>291.13</v>
          </cell>
          <cell r="Y617">
            <v>43669</v>
          </cell>
          <cell r="AF617" t="str">
            <v>SALAVERRY</v>
          </cell>
        </row>
        <row r="618">
          <cell r="C618" t="str">
            <v>MF-052C/19</v>
          </cell>
          <cell r="E618" t="str">
            <v>UREA GRANULADA</v>
          </cell>
          <cell r="F618" t="str">
            <v>PHOSAGRO (MITSUI)</v>
          </cell>
          <cell r="P618">
            <v>1320</v>
          </cell>
          <cell r="R618" t="str">
            <v>CFR</v>
          </cell>
          <cell r="S618">
            <v>291.13</v>
          </cell>
          <cell r="Y618">
            <v>43673</v>
          </cell>
          <cell r="AF618" t="str">
            <v>CALLAO</v>
          </cell>
        </row>
        <row r="619">
          <cell r="C619" t="str">
            <v>MF-052D/19</v>
          </cell>
          <cell r="E619" t="str">
            <v>UREA GRANULADA</v>
          </cell>
          <cell r="F619" t="str">
            <v>PHOSAGRO (MITSUI)</v>
          </cell>
          <cell r="P619">
            <v>770</v>
          </cell>
          <cell r="R619" t="str">
            <v>CFR</v>
          </cell>
          <cell r="S619">
            <v>291.13</v>
          </cell>
          <cell r="Y619">
            <v>43677</v>
          </cell>
          <cell r="AF619" t="str">
            <v>CALLAO</v>
          </cell>
        </row>
        <row r="620">
          <cell r="C620" t="str">
            <v>MF-053A/19</v>
          </cell>
          <cell r="E620" t="str">
            <v>EVOLHUMIC- DRIP X 10LT</v>
          </cell>
          <cell r="F620" t="str">
            <v>ACTAGRO</v>
          </cell>
          <cell r="P620">
            <v>3.456</v>
          </cell>
          <cell r="R620" t="str">
            <v>CIF</v>
          </cell>
          <cell r="S620">
            <v>2125</v>
          </cell>
          <cell r="Y620">
            <v>43722</v>
          </cell>
          <cell r="AF620" t="str">
            <v>CALLAO</v>
          </cell>
        </row>
        <row r="621">
          <cell r="C621" t="str">
            <v>MF-053B/19</v>
          </cell>
          <cell r="E621" t="str">
            <v>EVOLHUMIC- DRIP X 20LT</v>
          </cell>
          <cell r="F621" t="str">
            <v>ACTAGRO</v>
          </cell>
          <cell r="P621">
            <v>2.5920000000000001</v>
          </cell>
          <cell r="R621" t="str">
            <v>CIF</v>
          </cell>
          <cell r="S621">
            <v>2125</v>
          </cell>
          <cell r="Y621">
            <v>43722</v>
          </cell>
          <cell r="AF621" t="str">
            <v>CALLAO</v>
          </cell>
        </row>
        <row r="622">
          <cell r="C622" t="str">
            <v>MF-053B.1/19</v>
          </cell>
          <cell r="E622" t="str">
            <v>EVOLHUMIC- DRIP X 20LT (MUESTRA)</v>
          </cell>
          <cell r="F622" t="str">
            <v>ACTAGRO</v>
          </cell>
          <cell r="P622">
            <v>0.86399999999999999</v>
          </cell>
          <cell r="R622" t="str">
            <v>CIF</v>
          </cell>
          <cell r="S622">
            <v>2125</v>
          </cell>
          <cell r="Y622">
            <v>43722</v>
          </cell>
          <cell r="AF622" t="str">
            <v>CALLAO</v>
          </cell>
        </row>
        <row r="623">
          <cell r="C623" t="str">
            <v>MF-053C/19</v>
          </cell>
          <cell r="E623" t="str">
            <v>KICKUP X 10LT (MUESTRA)</v>
          </cell>
          <cell r="F623" t="str">
            <v>ACTAGRO</v>
          </cell>
          <cell r="P623">
            <v>0.98599999999999999</v>
          </cell>
          <cell r="R623" t="str">
            <v>CIF</v>
          </cell>
          <cell r="S623">
            <v>1862.0689655172414</v>
          </cell>
          <cell r="Y623">
            <v>43722</v>
          </cell>
          <cell r="AF623" t="str">
            <v>CALLAO</v>
          </cell>
        </row>
        <row r="624">
          <cell r="C624" t="str">
            <v>MF-053D/19</v>
          </cell>
          <cell r="E624" t="str">
            <v>STRUCTURE X 10LT (MUESTRA)</v>
          </cell>
          <cell r="F624" t="str">
            <v>ACTAGRO</v>
          </cell>
          <cell r="P624">
            <v>0.94299999999999995</v>
          </cell>
          <cell r="R624" t="str">
            <v>CIF</v>
          </cell>
          <cell r="S624">
            <v>1374.3372216330861</v>
          </cell>
          <cell r="Y624">
            <v>43722</v>
          </cell>
          <cell r="AF624" t="str">
            <v>CALLAO</v>
          </cell>
        </row>
        <row r="625">
          <cell r="C625" t="str">
            <v>MF-054/19</v>
          </cell>
          <cell r="E625" t="str">
            <v>SULFATO DE POTASIO GRANULAR</v>
          </cell>
          <cell r="F625" t="str">
            <v>KEYTRADE</v>
          </cell>
          <cell r="P625">
            <v>329.4</v>
          </cell>
          <cell r="R625" t="str">
            <v>CFR</v>
          </cell>
          <cell r="S625">
            <v>500</v>
          </cell>
          <cell r="Y625">
            <v>43675</v>
          </cell>
          <cell r="AF625" t="str">
            <v>CALLAO</v>
          </cell>
        </row>
        <row r="626">
          <cell r="C626" t="str">
            <v>MF-055/19</v>
          </cell>
          <cell r="E626" t="str">
            <v>FOSFATO MONOAMÓNICO CRISTALIZADO</v>
          </cell>
          <cell r="F626" t="str">
            <v>KEYTRADE</v>
          </cell>
          <cell r="P626">
            <v>325</v>
          </cell>
          <cell r="R626" t="str">
            <v>CPT</v>
          </cell>
          <cell r="S626">
            <v>672</v>
          </cell>
          <cell r="Y626">
            <v>43694</v>
          </cell>
          <cell r="AF626" t="str">
            <v>PAITA</v>
          </cell>
        </row>
        <row r="627">
          <cell r="C627" t="str">
            <v>MF-056/19</v>
          </cell>
          <cell r="E627" t="str">
            <v>UREA ADBLUE (BIG BAG)</v>
          </cell>
          <cell r="F627" t="str">
            <v>PHOSAGRO</v>
          </cell>
          <cell r="P627">
            <v>115.2</v>
          </cell>
          <cell r="R627" t="str">
            <v>CFR</v>
          </cell>
          <cell r="S627">
            <v>325</v>
          </cell>
          <cell r="Y627">
            <v>43676</v>
          </cell>
          <cell r="AF627" t="str">
            <v>CALLAO</v>
          </cell>
        </row>
        <row r="628">
          <cell r="C628" t="str">
            <v>MF-057A/19</v>
          </cell>
          <cell r="E628" t="str">
            <v>NITRATO DE AMONIO</v>
          </cell>
          <cell r="F628" t="str">
            <v>URALCHEM (MITSUI)</v>
          </cell>
          <cell r="P628">
            <v>400</v>
          </cell>
          <cell r="R628" t="str">
            <v>CFR</v>
          </cell>
          <cell r="S628">
            <v>260.7</v>
          </cell>
          <cell r="Y628">
            <v>43661</v>
          </cell>
          <cell r="AF628" t="str">
            <v>PAITA</v>
          </cell>
        </row>
        <row r="629">
          <cell r="C629" t="str">
            <v>MF-057B/19</v>
          </cell>
          <cell r="E629" t="str">
            <v>NITRATO DE AMONIO</v>
          </cell>
          <cell r="F629" t="str">
            <v>URALCHEM (MITSUI)</v>
          </cell>
          <cell r="P629">
            <v>1600</v>
          </cell>
          <cell r="R629" t="str">
            <v>CFR</v>
          </cell>
          <cell r="S629">
            <v>260.7</v>
          </cell>
          <cell r="Y629">
            <v>43663</v>
          </cell>
          <cell r="AF629" t="str">
            <v>SALAVERRY</v>
          </cell>
        </row>
        <row r="630">
          <cell r="C630" t="str">
            <v>MF-057C/19</v>
          </cell>
          <cell r="E630" t="str">
            <v>NITRATO DE AMONIO</v>
          </cell>
          <cell r="F630" t="str">
            <v>URALCHEM (MITSUI)</v>
          </cell>
          <cell r="P630">
            <v>800</v>
          </cell>
          <cell r="R630" t="str">
            <v>CFR</v>
          </cell>
          <cell r="S630">
            <v>260.7</v>
          </cell>
          <cell r="Y630">
            <v>43665</v>
          </cell>
          <cell r="AF630" t="str">
            <v>CALLAO</v>
          </cell>
        </row>
        <row r="631">
          <cell r="C631" t="str">
            <v>MF-057D/19</v>
          </cell>
          <cell r="E631" t="str">
            <v>NITRATO DE AMONIO</v>
          </cell>
          <cell r="F631" t="str">
            <v>URALCHEM (MITSUI)</v>
          </cell>
          <cell r="P631">
            <v>500</v>
          </cell>
          <cell r="R631" t="str">
            <v>CFR</v>
          </cell>
          <cell r="S631">
            <v>260.7</v>
          </cell>
          <cell r="Y631">
            <v>43668</v>
          </cell>
          <cell r="AF631" t="str">
            <v>PISCO</v>
          </cell>
        </row>
        <row r="632">
          <cell r="C632" t="str">
            <v>MF-057E/19</v>
          </cell>
          <cell r="E632" t="str">
            <v>NITRATO DE AMONIO</v>
          </cell>
          <cell r="F632" t="str">
            <v>URALCHEM (MITSUI)</v>
          </cell>
          <cell r="P632">
            <v>500</v>
          </cell>
          <cell r="R632" t="str">
            <v>CFR</v>
          </cell>
          <cell r="S632">
            <v>260.7</v>
          </cell>
          <cell r="Y632">
            <v>43672</v>
          </cell>
          <cell r="AF632" t="str">
            <v>PISCO</v>
          </cell>
        </row>
        <row r="633">
          <cell r="C633" t="str">
            <v>MF-058/19</v>
          </cell>
          <cell r="E633" t="str">
            <v>SULFATO DE AMONIO BLANCO GRANULAR</v>
          </cell>
          <cell r="F633" t="str">
            <v>KEYTRADE</v>
          </cell>
          <cell r="P633">
            <v>330</v>
          </cell>
          <cell r="R633" t="str">
            <v>CFR</v>
          </cell>
          <cell r="S633">
            <v>200.97</v>
          </cell>
          <cell r="Y633">
            <v>43686</v>
          </cell>
          <cell r="AF633" t="str">
            <v>MATARANI</v>
          </cell>
        </row>
        <row r="634">
          <cell r="C634" t="str">
            <v>MF-059/19</v>
          </cell>
          <cell r="E634" t="str">
            <v>SULFATO DE POTASIO SOLUBLE</v>
          </cell>
          <cell r="F634" t="str">
            <v>KEYTRADE</v>
          </cell>
          <cell r="P634">
            <v>320</v>
          </cell>
          <cell r="R634" t="str">
            <v>CFR</v>
          </cell>
          <cell r="S634">
            <v>534</v>
          </cell>
          <cell r="Y634">
            <v>43686</v>
          </cell>
          <cell r="AF634" t="str">
            <v>MATARANI</v>
          </cell>
        </row>
        <row r="635">
          <cell r="C635" t="str">
            <v>MF-060/19</v>
          </cell>
          <cell r="E635" t="str">
            <v>SULFATO DE POTASIO GRANULAR</v>
          </cell>
          <cell r="F635" t="str">
            <v>KEYTRADE</v>
          </cell>
          <cell r="P635">
            <v>149.85</v>
          </cell>
          <cell r="R635" t="str">
            <v>CFR</v>
          </cell>
          <cell r="S635">
            <v>515</v>
          </cell>
          <cell r="Y635">
            <v>43686</v>
          </cell>
          <cell r="AF635" t="str">
            <v>MATARANI</v>
          </cell>
        </row>
        <row r="636">
          <cell r="C636" t="str">
            <v>MF-061A1/19</v>
          </cell>
          <cell r="E636" t="str">
            <v>SULFATO DE POTASIO SOLUBLE</v>
          </cell>
          <cell r="F636" t="str">
            <v>KEYTRADE</v>
          </cell>
          <cell r="P636">
            <v>600</v>
          </cell>
          <cell r="R636" t="str">
            <v>CPT</v>
          </cell>
          <cell r="S636">
            <v>528.81500000000005</v>
          </cell>
          <cell r="Y636">
            <v>43676</v>
          </cell>
          <cell r="AF636" t="str">
            <v>PAITA</v>
          </cell>
        </row>
        <row r="637">
          <cell r="C637" t="str">
            <v>MF-061A2/19</v>
          </cell>
          <cell r="E637" t="str">
            <v>SULFATO DE POTASIO SOLUBLE</v>
          </cell>
          <cell r="F637" t="str">
            <v>KEYTRADE</v>
          </cell>
          <cell r="P637">
            <v>550</v>
          </cell>
          <cell r="R637" t="str">
            <v>CPT</v>
          </cell>
          <cell r="S637">
            <v>528.81500000000005</v>
          </cell>
          <cell r="Y637">
            <v>43691</v>
          </cell>
          <cell r="AF637" t="str">
            <v>PAITA</v>
          </cell>
        </row>
        <row r="638">
          <cell r="C638" t="str">
            <v>MF-061A3/19</v>
          </cell>
          <cell r="E638" t="str">
            <v>SULFATO DE POTASIO SOLUBLE</v>
          </cell>
          <cell r="F638" t="str">
            <v>KEYTRADE</v>
          </cell>
          <cell r="P638">
            <v>550</v>
          </cell>
          <cell r="R638" t="str">
            <v>CPT</v>
          </cell>
          <cell r="S638">
            <v>528.81500000000005</v>
          </cell>
          <cell r="Y638">
            <v>43712</v>
          </cell>
          <cell r="AF638" t="str">
            <v>PAITA</v>
          </cell>
        </row>
        <row r="639">
          <cell r="C639" t="str">
            <v>MF-062/19</v>
          </cell>
          <cell r="E639" t="str">
            <v>SULFATO DE POTASIO SOLUBLE</v>
          </cell>
          <cell r="F639" t="str">
            <v>KEYTRADE</v>
          </cell>
          <cell r="P639">
            <v>324</v>
          </cell>
          <cell r="R639" t="str">
            <v>CPT</v>
          </cell>
          <cell r="S639">
            <v>506.48500000000001</v>
          </cell>
          <cell r="Y639">
            <v>43691</v>
          </cell>
          <cell r="AF639" t="str">
            <v>CALLAO</v>
          </cell>
        </row>
        <row r="640">
          <cell r="C640" t="str">
            <v>MF-063/19</v>
          </cell>
          <cell r="E640" t="str">
            <v>NITRATO DE MAGNESIO HEXAHIDRATADO</v>
          </cell>
          <cell r="F640" t="str">
            <v>JM FERTILIZER</v>
          </cell>
          <cell r="P640">
            <v>168</v>
          </cell>
          <cell r="R640" t="str">
            <v>CFR</v>
          </cell>
          <cell r="S640">
            <v>257.76</v>
          </cell>
          <cell r="Y640">
            <v>43695</v>
          </cell>
          <cell r="AF640" t="str">
            <v>CALLAO</v>
          </cell>
        </row>
        <row r="641">
          <cell r="C641" t="str">
            <v>MF-064/19</v>
          </cell>
          <cell r="E641" t="str">
            <v>FOSFATO MONOPOTASICO (MKP) X BIGBAG</v>
          </cell>
          <cell r="F641" t="str">
            <v>ROTEM AMFERT NEGEV LTD (NovaPeak)</v>
          </cell>
          <cell r="P641">
            <v>96</v>
          </cell>
          <cell r="R641" t="str">
            <v>CIF</v>
          </cell>
          <cell r="S641">
            <v>1200</v>
          </cell>
          <cell r="Y641">
            <v>43716</v>
          </cell>
          <cell r="AF641" t="str">
            <v>CALLAO</v>
          </cell>
        </row>
        <row r="642">
          <cell r="C642" t="str">
            <v>MF-065/19</v>
          </cell>
          <cell r="E642" t="str">
            <v>SULFATO DE POTASIO SOLUBLE ORG X 25KG - HORTISUL</v>
          </cell>
          <cell r="F642" t="str">
            <v xml:space="preserve">K+S KALI GMBH </v>
          </cell>
          <cell r="P642">
            <v>192</v>
          </cell>
          <cell r="R642" t="str">
            <v>CFR</v>
          </cell>
          <cell r="S642">
            <v>705</v>
          </cell>
          <cell r="Y642">
            <v>43677</v>
          </cell>
          <cell r="AF642" t="str">
            <v>PAITA</v>
          </cell>
        </row>
        <row r="643">
          <cell r="C643" t="str">
            <v>MF-066A1/19</v>
          </cell>
          <cell r="E643" t="str">
            <v>POLISULFATO GRANULADO</v>
          </cell>
          <cell r="F643" t="str">
            <v>ICL EUROPE COOPERATIEF U.A.</v>
          </cell>
          <cell r="P643">
            <v>139.80000000000001</v>
          </cell>
          <cell r="R643" t="str">
            <v>CFR</v>
          </cell>
          <cell r="S643">
            <v>225</v>
          </cell>
          <cell r="Y643">
            <v>43672</v>
          </cell>
          <cell r="AF643" t="str">
            <v>CALLAO</v>
          </cell>
        </row>
        <row r="644">
          <cell r="C644" t="str">
            <v>MF-066B1/19</v>
          </cell>
          <cell r="E644" t="str">
            <v>POLISULFATO GRANULADO</v>
          </cell>
          <cell r="F644" t="str">
            <v>ICL EUROPE COOPERATIEF U.A.</v>
          </cell>
          <cell r="P644">
            <v>139.63999999999999</v>
          </cell>
          <cell r="R644" t="str">
            <v>CFR</v>
          </cell>
          <cell r="S644">
            <v>225</v>
          </cell>
          <cell r="Y644">
            <v>43684</v>
          </cell>
          <cell r="AF644" t="str">
            <v>PAITA</v>
          </cell>
        </row>
        <row r="645">
          <cell r="C645" t="str">
            <v>MF-066A2/19</v>
          </cell>
          <cell r="E645" t="str">
            <v>POLISULFATO GRANULADO</v>
          </cell>
          <cell r="F645" t="str">
            <v>ICL EUROPE COOPERATIEF U.A.</v>
          </cell>
          <cell r="P645">
            <v>167.8</v>
          </cell>
          <cell r="R645" t="str">
            <v>CFR</v>
          </cell>
          <cell r="S645">
            <v>225</v>
          </cell>
          <cell r="Y645">
            <v>43678</v>
          </cell>
          <cell r="AF645" t="str">
            <v>CALLAO</v>
          </cell>
        </row>
        <row r="646">
          <cell r="C646" t="str">
            <v>MF-066B2/19</v>
          </cell>
          <cell r="E646" t="str">
            <v>POLISULFATO GRANULADO</v>
          </cell>
          <cell r="F646" t="str">
            <v>ICL EUROPE COOPERATIEF U.A.</v>
          </cell>
          <cell r="P646">
            <v>167.82</v>
          </cell>
          <cell r="R646" t="str">
            <v>CFR</v>
          </cell>
          <cell r="S646">
            <v>225</v>
          </cell>
          <cell r="Y646">
            <v>43677</v>
          </cell>
          <cell r="AF646" t="str">
            <v>PAITA</v>
          </cell>
        </row>
        <row r="647">
          <cell r="C647" t="str">
            <v>MF-067/19</v>
          </cell>
          <cell r="E647" t="str">
            <v xml:space="preserve">SULFATO DE MAGNESIO HEPTAHIDRATADO </v>
          </cell>
          <cell r="F647" t="str">
            <v>STAR GRACE MINING CO.,LTD</v>
          </cell>
          <cell r="P647">
            <v>500.4</v>
          </cell>
          <cell r="R647" t="str">
            <v>CFR</v>
          </cell>
          <cell r="S647">
            <v>116</v>
          </cell>
          <cell r="Y647">
            <v>43712</v>
          </cell>
          <cell r="AF647" t="str">
            <v>CALLAO</v>
          </cell>
        </row>
        <row r="648">
          <cell r="C648" t="str">
            <v>MF-068/19</v>
          </cell>
          <cell r="E648" t="str">
            <v xml:space="preserve">SULFATO DE MAGNESIO HEPTAHIDRATADO </v>
          </cell>
          <cell r="F648" t="str">
            <v>STAR GRACE MINING CO.,LTD</v>
          </cell>
          <cell r="P648">
            <v>514.79999999999995</v>
          </cell>
          <cell r="R648" t="str">
            <v>CFR</v>
          </cell>
          <cell r="S648">
            <v>123</v>
          </cell>
          <cell r="Y648">
            <v>43707</v>
          </cell>
          <cell r="AF648" t="str">
            <v>PAITA</v>
          </cell>
        </row>
        <row r="649">
          <cell r="C649" t="str">
            <v>MF-069A/19</v>
          </cell>
          <cell r="E649" t="str">
            <v>SULFATO DE POTASIO SOLUBLE</v>
          </cell>
          <cell r="F649" t="str">
            <v>KEYTRADE</v>
          </cell>
          <cell r="P649">
            <v>300</v>
          </cell>
          <cell r="R649" t="str">
            <v>CPT</v>
          </cell>
          <cell r="S649">
            <v>511</v>
          </cell>
          <cell r="Y649">
            <v>43692</v>
          </cell>
          <cell r="AF649" t="str">
            <v>CALLAO</v>
          </cell>
        </row>
        <row r="650">
          <cell r="C650" t="str">
            <v>MF-069B/19</v>
          </cell>
          <cell r="E650" t="str">
            <v>SULFATO DE POTASIO SOLUBLE</v>
          </cell>
          <cell r="F650" t="str">
            <v>KEYTRADE</v>
          </cell>
          <cell r="P650">
            <v>850</v>
          </cell>
          <cell r="R650" t="str">
            <v>CPT</v>
          </cell>
          <cell r="S650">
            <v>521</v>
          </cell>
          <cell r="Y650">
            <v>43712</v>
          </cell>
          <cell r="AF650" t="str">
            <v>PAITA</v>
          </cell>
        </row>
        <row r="651">
          <cell r="C651" t="str">
            <v>MF-070A/19</v>
          </cell>
          <cell r="E651" t="str">
            <v>SULFATO DE ZINC HEPTAHIDRATADO</v>
          </cell>
          <cell r="F651" t="str">
            <v>KEYTRADE</v>
          </cell>
          <cell r="P651">
            <v>108</v>
          </cell>
          <cell r="R651" t="str">
            <v>CPT</v>
          </cell>
          <cell r="S651">
            <v>552</v>
          </cell>
          <cell r="Y651">
            <v>43698</v>
          </cell>
          <cell r="AF651" t="str">
            <v>CALLAO</v>
          </cell>
        </row>
        <row r="652">
          <cell r="C652" t="str">
            <v>MF-070B/19</v>
          </cell>
          <cell r="E652" t="str">
            <v>SULFATO DE ZINC HEPTAHIDRATADO</v>
          </cell>
          <cell r="F652" t="str">
            <v>KEYTRADE</v>
          </cell>
          <cell r="P652">
            <v>324</v>
          </cell>
          <cell r="R652" t="str">
            <v>CPT</v>
          </cell>
          <cell r="S652">
            <v>557</v>
          </cell>
          <cell r="Y652">
            <v>43726</v>
          </cell>
          <cell r="AF652" t="str">
            <v>PAITA</v>
          </cell>
        </row>
        <row r="653">
          <cell r="C653" t="str">
            <v>MF-071/19</v>
          </cell>
          <cell r="E653" t="str">
            <v>NITRATO DE CALCIO</v>
          </cell>
          <cell r="F653" t="str">
            <v>JM FERTILIZER</v>
          </cell>
          <cell r="P653">
            <v>700</v>
          </cell>
          <cell r="R653" t="str">
            <v>CFR</v>
          </cell>
          <cell r="S653">
            <v>240</v>
          </cell>
          <cell r="Y653">
            <v>43718</v>
          </cell>
          <cell r="AF653" t="str">
            <v>PAITA</v>
          </cell>
        </row>
        <row r="654">
          <cell r="C654" t="str">
            <v>MF-072/19</v>
          </cell>
          <cell r="E654" t="str">
            <v>SULFATO DE POTASIO GRANULAR</v>
          </cell>
          <cell r="F654" t="str">
            <v>JM FERTILIZER</v>
          </cell>
          <cell r="P654">
            <v>400</v>
          </cell>
          <cell r="R654" t="str">
            <v>CFR</v>
          </cell>
          <cell r="S654">
            <v>482.17</v>
          </cell>
          <cell r="Y654">
            <v>43712</v>
          </cell>
          <cell r="AF654" t="str">
            <v>CALLAO</v>
          </cell>
        </row>
        <row r="655">
          <cell r="C655" t="str">
            <v>MF-073/19</v>
          </cell>
          <cell r="E655" t="str">
            <v>SULFATO DE POTASIO GRANULAR</v>
          </cell>
          <cell r="F655" t="str">
            <v>DREYMOOR</v>
          </cell>
          <cell r="P655">
            <v>369.2</v>
          </cell>
          <cell r="R655" t="str">
            <v>CFR</v>
          </cell>
          <cell r="S655">
            <v>482</v>
          </cell>
          <cell r="Y655">
            <v>43739</v>
          </cell>
          <cell r="AF655" t="str">
            <v>PAITA</v>
          </cell>
        </row>
        <row r="656">
          <cell r="C656" t="str">
            <v>MF-074A/19</v>
          </cell>
          <cell r="E656" t="str">
            <v>SULFATO DE POTASIO SOLUBLE</v>
          </cell>
          <cell r="F656" t="str">
            <v>WITTRACO DÜNGEMITTEL GmbH</v>
          </cell>
          <cell r="P656">
            <v>100</v>
          </cell>
          <cell r="R656" t="str">
            <v>CFR</v>
          </cell>
          <cell r="S656">
            <v>467.01</v>
          </cell>
          <cell r="Y656">
            <v>43712</v>
          </cell>
          <cell r="AF656" t="str">
            <v>CALLAO</v>
          </cell>
        </row>
        <row r="657">
          <cell r="C657" t="str">
            <v>MF-074B/19</v>
          </cell>
          <cell r="E657" t="str">
            <v>SULFATO DE POTASIO SOLUBLE</v>
          </cell>
          <cell r="F657" t="str">
            <v>WITTRACO DÜNGEMITTEL GmbH</v>
          </cell>
          <cell r="P657">
            <v>224</v>
          </cell>
          <cell r="R657" t="str">
            <v>CFR</v>
          </cell>
          <cell r="S657">
            <v>467.01</v>
          </cell>
          <cell r="Y657">
            <v>43712</v>
          </cell>
          <cell r="AF657" t="str">
            <v>PAITA</v>
          </cell>
        </row>
        <row r="658">
          <cell r="C658" t="str">
            <v>MF-075/19</v>
          </cell>
          <cell r="E658" t="str">
            <v>NITRATO DE CALCIO</v>
          </cell>
          <cell r="F658" t="str">
            <v>DREYMOOR</v>
          </cell>
          <cell r="P658">
            <v>500.4</v>
          </cell>
          <cell r="R658" t="str">
            <v>CFR</v>
          </cell>
          <cell r="S658">
            <v>240</v>
          </cell>
          <cell r="Y658">
            <v>43712</v>
          </cell>
          <cell r="AF658" t="str">
            <v>CALLAO</v>
          </cell>
        </row>
        <row r="659">
          <cell r="C659" t="str">
            <v>MF-076/19</v>
          </cell>
          <cell r="E659" t="str">
            <v>NYIELD ADITIVO</v>
          </cell>
          <cell r="F659" t="str">
            <v>KEYTRADE</v>
          </cell>
          <cell r="P659">
            <v>5.415</v>
          </cell>
          <cell r="R659" t="str">
            <v>CPT</v>
          </cell>
          <cell r="S659">
            <v>11265.004616805172</v>
          </cell>
          <cell r="Y659">
            <v>43669</v>
          </cell>
          <cell r="AF659" t="str">
            <v>CALLAO</v>
          </cell>
        </row>
        <row r="660">
          <cell r="C660" t="str">
            <v>MF-077A/19</v>
          </cell>
          <cell r="E660" t="str">
            <v>NITRATO DE POTASIO CRISTALIZADO</v>
          </cell>
          <cell r="F660" t="str">
            <v>TOYOTA TSUSHO CORPORATION</v>
          </cell>
          <cell r="P660">
            <v>360</v>
          </cell>
          <cell r="R660" t="str">
            <v>CIF</v>
          </cell>
          <cell r="S660">
            <v>733</v>
          </cell>
          <cell r="Y660">
            <v>43671</v>
          </cell>
          <cell r="AF660" t="str">
            <v>CALLAO</v>
          </cell>
        </row>
        <row r="661">
          <cell r="C661" t="str">
            <v>MF-077B1/19</v>
          </cell>
          <cell r="E661" t="str">
            <v>NITRATO DE POTASIO CRISTALIZADO</v>
          </cell>
          <cell r="F661" t="str">
            <v>TOYOTA TSUSHO CORPORATION</v>
          </cell>
          <cell r="P661">
            <v>216</v>
          </cell>
          <cell r="R661" t="str">
            <v>CIF</v>
          </cell>
          <cell r="S661">
            <v>733</v>
          </cell>
          <cell r="Y661">
            <v>43743</v>
          </cell>
          <cell r="AF661" t="str">
            <v>CALLAO</v>
          </cell>
        </row>
        <row r="662">
          <cell r="C662" t="str">
            <v>MF-077B2/19</v>
          </cell>
          <cell r="E662" t="str">
            <v>NITRATO DE POTASIO CRISTALIZADO</v>
          </cell>
          <cell r="F662" t="str">
            <v>TOYOTA TSUSHO CORPORATION</v>
          </cell>
          <cell r="P662">
            <v>144</v>
          </cell>
          <cell r="R662" t="str">
            <v>CIF</v>
          </cell>
          <cell r="S662">
            <v>733</v>
          </cell>
          <cell r="Y662">
            <v>43750</v>
          </cell>
          <cell r="AF662" t="str">
            <v>CALLAO</v>
          </cell>
        </row>
        <row r="663">
          <cell r="C663" t="str">
            <v>MF-078A/19</v>
          </cell>
          <cell r="E663" t="str">
            <v>UREA PERLADA</v>
          </cell>
          <cell r="F663" t="str">
            <v>URALCHEM</v>
          </cell>
          <cell r="P663">
            <v>700</v>
          </cell>
          <cell r="R663" t="str">
            <v>CFR</v>
          </cell>
          <cell r="S663">
            <v>307.5</v>
          </cell>
          <cell r="Y663">
            <v>43709</v>
          </cell>
          <cell r="AF663" t="str">
            <v>PAITA</v>
          </cell>
        </row>
        <row r="664">
          <cell r="C664" t="str">
            <v>MF-078B/19</v>
          </cell>
          <cell r="E664" t="str">
            <v>UREA PERLADA</v>
          </cell>
          <cell r="F664" t="str">
            <v>URALCHEM</v>
          </cell>
          <cell r="P664">
            <v>200</v>
          </cell>
          <cell r="R664" t="str">
            <v>CFR</v>
          </cell>
          <cell r="S664">
            <v>307.5</v>
          </cell>
          <cell r="Y664">
            <v>43711</v>
          </cell>
          <cell r="AF664" t="str">
            <v>SALAVERRY</v>
          </cell>
        </row>
        <row r="665">
          <cell r="C665" t="str">
            <v>MF-078C/19</v>
          </cell>
          <cell r="E665" t="str">
            <v>UREA PERLADA</v>
          </cell>
          <cell r="F665" t="str">
            <v>URALCHEM</v>
          </cell>
          <cell r="P665">
            <v>450</v>
          </cell>
          <cell r="R665" t="str">
            <v>CFR</v>
          </cell>
          <cell r="S665">
            <v>307.5</v>
          </cell>
          <cell r="Y665">
            <v>43717</v>
          </cell>
          <cell r="AF665" t="str">
            <v>CALLAO</v>
          </cell>
        </row>
        <row r="666">
          <cell r="C666" t="str">
            <v>MF-078D/19</v>
          </cell>
          <cell r="E666" t="str">
            <v>UREA PERLADA</v>
          </cell>
          <cell r="F666" t="str">
            <v>URALCHEM</v>
          </cell>
          <cell r="P666">
            <v>391.35</v>
          </cell>
          <cell r="R666" t="str">
            <v>CFR</v>
          </cell>
          <cell r="S666">
            <v>307.5</v>
          </cell>
          <cell r="Y666">
            <v>43719</v>
          </cell>
          <cell r="AF666" t="str">
            <v>MATARANI</v>
          </cell>
        </row>
        <row r="667">
          <cell r="C667" t="str">
            <v>MF-078E/19</v>
          </cell>
          <cell r="E667" t="str">
            <v>UREA PERLADA</v>
          </cell>
          <cell r="F667" t="str">
            <v>URALCHEM</v>
          </cell>
          <cell r="P667">
            <v>233.65</v>
          </cell>
          <cell r="R667" t="str">
            <v>CFR</v>
          </cell>
          <cell r="S667">
            <v>307.5</v>
          </cell>
          <cell r="Y667">
            <v>43719</v>
          </cell>
          <cell r="AF667" t="str">
            <v>MATARANI</v>
          </cell>
        </row>
        <row r="668">
          <cell r="C668" t="str">
            <v>MF-079A/19</v>
          </cell>
          <cell r="E668" t="str">
            <v>NITRATO DE AMONIO</v>
          </cell>
          <cell r="F668" t="str">
            <v>URALCHEM</v>
          </cell>
          <cell r="P668">
            <v>850</v>
          </cell>
          <cell r="R668" t="str">
            <v>CFR</v>
          </cell>
          <cell r="S668">
            <v>274</v>
          </cell>
          <cell r="Y668">
            <v>43709</v>
          </cell>
          <cell r="AF668" t="str">
            <v>PAITA</v>
          </cell>
        </row>
        <row r="669">
          <cell r="C669" t="str">
            <v>MF-079B/19</v>
          </cell>
          <cell r="E669" t="str">
            <v>NITRATO DE AMONIO</v>
          </cell>
          <cell r="F669" t="str">
            <v>URALCHEM</v>
          </cell>
          <cell r="P669">
            <v>2000</v>
          </cell>
          <cell r="R669" t="str">
            <v>CFR</v>
          </cell>
          <cell r="S669">
            <v>274</v>
          </cell>
          <cell r="Y669">
            <v>43711</v>
          </cell>
          <cell r="AF669" t="str">
            <v>SALAVERRY</v>
          </cell>
        </row>
        <row r="670">
          <cell r="C670" t="str">
            <v>MF-079C/19</v>
          </cell>
          <cell r="E670" t="str">
            <v>NITRATO DE AMONIO</v>
          </cell>
          <cell r="F670" t="str">
            <v>URALCHEM</v>
          </cell>
          <cell r="P670">
            <v>1700</v>
          </cell>
          <cell r="R670" t="str">
            <v>CFR</v>
          </cell>
          <cell r="S670">
            <v>274</v>
          </cell>
          <cell r="Y670">
            <v>43714</v>
          </cell>
          <cell r="AF670" t="str">
            <v>CALLAO</v>
          </cell>
        </row>
        <row r="671">
          <cell r="C671" t="str">
            <v>MF-079D/19</v>
          </cell>
          <cell r="E671" t="str">
            <v>NITRATO DE AMONIO</v>
          </cell>
          <cell r="F671" t="str">
            <v>URALCHEM</v>
          </cell>
          <cell r="P671">
            <v>550</v>
          </cell>
          <cell r="R671" t="str">
            <v>CFR</v>
          </cell>
          <cell r="S671">
            <v>274</v>
          </cell>
          <cell r="Y671">
            <v>43717</v>
          </cell>
          <cell r="AF671" t="str">
            <v>CALLAO</v>
          </cell>
        </row>
        <row r="672">
          <cell r="C672" t="str">
            <v>MF-079E/19</v>
          </cell>
          <cell r="E672" t="str">
            <v>NITRATO DE AMONIO</v>
          </cell>
          <cell r="F672" t="str">
            <v>URALCHEM</v>
          </cell>
          <cell r="P672">
            <v>1056</v>
          </cell>
          <cell r="R672" t="str">
            <v>CFR</v>
          </cell>
          <cell r="S672">
            <v>274</v>
          </cell>
          <cell r="Y672">
            <v>43719</v>
          </cell>
          <cell r="AF672" t="str">
            <v>MATARANI</v>
          </cell>
        </row>
        <row r="673">
          <cell r="C673" t="str">
            <v>MF-080/19</v>
          </cell>
          <cell r="E673" t="str">
            <v>UREA ADBLUE (BIG BAG)</v>
          </cell>
          <cell r="F673" t="str">
            <v>PHOSAGRO</v>
          </cell>
          <cell r="P673">
            <v>115.2</v>
          </cell>
          <cell r="R673" t="str">
            <v>CFR</v>
          </cell>
          <cell r="S673">
            <v>340</v>
          </cell>
          <cell r="Y673">
            <v>43721</v>
          </cell>
          <cell r="AF673" t="str">
            <v>CALLAO</v>
          </cell>
        </row>
        <row r="674">
          <cell r="C674" t="str">
            <v>MF-081A/19</v>
          </cell>
          <cell r="E674" t="str">
            <v>CLORURO DE POTASIO ROJO GRANULAR</v>
          </cell>
          <cell r="F674" t="str">
            <v>GAVILON</v>
          </cell>
          <cell r="P674">
            <v>200</v>
          </cell>
          <cell r="R674" t="str">
            <v>CFR</v>
          </cell>
          <cell r="S674">
            <v>325</v>
          </cell>
          <cell r="Y674">
            <v>43709</v>
          </cell>
          <cell r="AF674" t="str">
            <v>PAITA</v>
          </cell>
        </row>
        <row r="675">
          <cell r="C675" t="str">
            <v>MF-081B/19</v>
          </cell>
          <cell r="E675" t="str">
            <v>CLORURO DE POTASIO ROJO GRANULAR</v>
          </cell>
          <cell r="F675" t="str">
            <v>GAVILON</v>
          </cell>
          <cell r="P675">
            <v>600</v>
          </cell>
          <cell r="R675" t="str">
            <v>CFR</v>
          </cell>
          <cell r="S675">
            <v>325</v>
          </cell>
          <cell r="Y675">
            <v>43711</v>
          </cell>
          <cell r="AF675" t="str">
            <v>SALAVERRY</v>
          </cell>
        </row>
        <row r="676">
          <cell r="C676" t="str">
            <v>MF-081C/19</v>
          </cell>
          <cell r="E676" t="str">
            <v>CLORURO DE POTASIO ROJO GRANULAR</v>
          </cell>
          <cell r="F676" t="str">
            <v>GAVILON</v>
          </cell>
          <cell r="P676">
            <v>1600</v>
          </cell>
          <cell r="R676" t="str">
            <v>CFR</v>
          </cell>
          <cell r="S676">
            <v>325</v>
          </cell>
          <cell r="Y676">
            <v>43714</v>
          </cell>
          <cell r="AF676" t="str">
            <v>CALLAO</v>
          </cell>
        </row>
        <row r="677">
          <cell r="C677" t="str">
            <v>MF-081D/19</v>
          </cell>
          <cell r="E677" t="str">
            <v>CLORURO DE POTASIO ROJO GRANULAR</v>
          </cell>
          <cell r="F677" t="str">
            <v>GAVILON</v>
          </cell>
          <cell r="P677">
            <v>200</v>
          </cell>
          <cell r="R677" t="str">
            <v>CFR</v>
          </cell>
          <cell r="S677">
            <v>325</v>
          </cell>
          <cell r="Y677">
            <v>43717</v>
          </cell>
          <cell r="AF677" t="str">
            <v>CALLAO</v>
          </cell>
        </row>
        <row r="678">
          <cell r="C678" t="str">
            <v>MF-081E/19</v>
          </cell>
          <cell r="E678" t="str">
            <v>CLORURO DE POTASIO ROJO GRANULAR</v>
          </cell>
          <cell r="F678" t="str">
            <v>GAVILON</v>
          </cell>
          <cell r="P678">
            <v>400</v>
          </cell>
          <cell r="R678" t="str">
            <v>CFR</v>
          </cell>
          <cell r="S678">
            <v>325</v>
          </cell>
          <cell r="Y678">
            <v>43719</v>
          </cell>
          <cell r="AF678" t="str">
            <v>MATARANI</v>
          </cell>
        </row>
        <row r="679">
          <cell r="C679" t="str">
            <v>MF-082A/19</v>
          </cell>
          <cell r="E679" t="str">
            <v>CLORURO DE POTASIO BLANCO ESTANDAR</v>
          </cell>
          <cell r="F679" t="str">
            <v>GAVILON</v>
          </cell>
          <cell r="P679">
            <v>350</v>
          </cell>
          <cell r="R679" t="str">
            <v>CFR</v>
          </cell>
          <cell r="S679">
            <v>315</v>
          </cell>
          <cell r="Y679">
            <v>43709</v>
          </cell>
          <cell r="AF679" t="str">
            <v>PAITA</v>
          </cell>
        </row>
        <row r="680">
          <cell r="C680" t="str">
            <v>MF-082B/19</v>
          </cell>
          <cell r="E680" t="str">
            <v>CLORURO DE POTASIO BLANCO ESTANDAR</v>
          </cell>
          <cell r="F680" t="str">
            <v>GAVILON</v>
          </cell>
          <cell r="P680">
            <v>2300</v>
          </cell>
          <cell r="R680" t="str">
            <v>CFR</v>
          </cell>
          <cell r="S680">
            <v>315</v>
          </cell>
          <cell r="Y680">
            <v>43711</v>
          </cell>
          <cell r="AF680" t="str">
            <v>SALAVERRY</v>
          </cell>
        </row>
        <row r="681">
          <cell r="C681" t="str">
            <v>MF-082C/19</v>
          </cell>
          <cell r="E681" t="str">
            <v>CLORURO DE POTASIO BLANCO ESTANDAR</v>
          </cell>
          <cell r="F681" t="str">
            <v>GAVILON</v>
          </cell>
          <cell r="P681">
            <v>350</v>
          </cell>
          <cell r="R681" t="str">
            <v>CFR</v>
          </cell>
          <cell r="S681">
            <v>315</v>
          </cell>
          <cell r="Y681">
            <v>43714</v>
          </cell>
          <cell r="AF681" t="str">
            <v>CALLAO</v>
          </cell>
        </row>
        <row r="682">
          <cell r="C682" t="str">
            <v>MF-082D/19</v>
          </cell>
          <cell r="E682" t="str">
            <v>CLORURO DE POTASIO BLANCO ESTANDAR</v>
          </cell>
          <cell r="F682" t="str">
            <v>GAVILON</v>
          </cell>
          <cell r="P682">
            <v>200</v>
          </cell>
          <cell r="R682" t="str">
            <v>CFR</v>
          </cell>
          <cell r="S682">
            <v>315</v>
          </cell>
          <cell r="Y682">
            <v>43717</v>
          </cell>
          <cell r="AF682" t="str">
            <v>CALLAO</v>
          </cell>
        </row>
        <row r="683">
          <cell r="C683" t="str">
            <v>MF-082E/19</v>
          </cell>
          <cell r="E683" t="str">
            <v>CLORURO DE POTASIO BLANCO ESTANDAR</v>
          </cell>
          <cell r="F683" t="str">
            <v>GAVILON</v>
          </cell>
          <cell r="P683">
            <v>300</v>
          </cell>
          <cell r="R683" t="str">
            <v>CFR</v>
          </cell>
          <cell r="S683">
            <v>315</v>
          </cell>
          <cell r="Y683">
            <v>43719</v>
          </cell>
          <cell r="AF683" t="str">
            <v>MATARANI</v>
          </cell>
        </row>
        <row r="684">
          <cell r="C684" t="str">
            <v>MF-083/19</v>
          </cell>
          <cell r="E684" t="str">
            <v>SULFATO DE MAGNESIO HEPTAHIDRATADO ORG X 25KG - EPSOTOP</v>
          </cell>
          <cell r="F684" t="str">
            <v xml:space="preserve">K+S KALI GMBH </v>
          </cell>
          <cell r="P684">
            <v>96.25</v>
          </cell>
          <cell r="R684" t="str">
            <v>CFR</v>
          </cell>
          <cell r="S684">
            <v>310</v>
          </cell>
          <cell r="Y684">
            <v>43726</v>
          </cell>
          <cell r="AF684" t="str">
            <v>PAITA</v>
          </cell>
        </row>
        <row r="685">
          <cell r="C685" t="str">
            <v>MF-084A/19</v>
          </cell>
          <cell r="E685" t="str">
            <v>UREA GRANULADA</v>
          </cell>
          <cell r="F685" t="str">
            <v>GAVILON</v>
          </cell>
          <cell r="P685">
            <v>700</v>
          </cell>
          <cell r="R685" t="str">
            <v>CFR</v>
          </cell>
          <cell r="S685">
            <v>316.75</v>
          </cell>
          <cell r="Y685">
            <v>43734</v>
          </cell>
          <cell r="AF685" t="str">
            <v>PAITA</v>
          </cell>
        </row>
        <row r="686">
          <cell r="C686" t="str">
            <v>MF-084B/19</v>
          </cell>
          <cell r="E686" t="str">
            <v>UREA GRANULADA</v>
          </cell>
          <cell r="F686" t="str">
            <v>GAVILON</v>
          </cell>
          <cell r="P686">
            <v>700</v>
          </cell>
          <cell r="R686" t="str">
            <v>CFR</v>
          </cell>
          <cell r="S686">
            <v>316.75</v>
          </cell>
          <cell r="Y686">
            <v>43736</v>
          </cell>
          <cell r="AF686" t="str">
            <v>SALAVERRY</v>
          </cell>
        </row>
        <row r="687">
          <cell r="C687" t="str">
            <v>MF-084C/19</v>
          </cell>
          <cell r="E687" t="str">
            <v>UREA GRANULADA</v>
          </cell>
          <cell r="F687" t="str">
            <v>GAVILON</v>
          </cell>
          <cell r="P687">
            <v>530</v>
          </cell>
          <cell r="R687" t="str">
            <v>CFR</v>
          </cell>
          <cell r="S687">
            <v>316.75</v>
          </cell>
          <cell r="Y687">
            <v>43742</v>
          </cell>
          <cell r="AF687" t="str">
            <v>CALLAO</v>
          </cell>
        </row>
        <row r="688">
          <cell r="C688" t="str">
            <v>MF-084D/19</v>
          </cell>
          <cell r="E688" t="str">
            <v>UREA GRANULADA</v>
          </cell>
          <cell r="F688" t="str">
            <v>GAVILON</v>
          </cell>
          <cell r="P688">
            <v>120</v>
          </cell>
          <cell r="R688" t="str">
            <v>CFR</v>
          </cell>
          <cell r="S688">
            <v>316.75</v>
          </cell>
          <cell r="Y688">
            <v>43744</v>
          </cell>
          <cell r="AF688" t="str">
            <v>PISCO</v>
          </cell>
        </row>
        <row r="689">
          <cell r="C689" t="str">
            <v>MF-084E/19</v>
          </cell>
          <cell r="E689" t="str">
            <v>UREA GRANULADA</v>
          </cell>
          <cell r="F689" t="str">
            <v>GAVILON</v>
          </cell>
          <cell r="P689">
            <v>950</v>
          </cell>
          <cell r="R689" t="str">
            <v>CFR</v>
          </cell>
          <cell r="S689">
            <v>316.75</v>
          </cell>
          <cell r="Y689">
            <v>43746</v>
          </cell>
          <cell r="AF689" t="str">
            <v>MATARANI</v>
          </cell>
        </row>
        <row r="690">
          <cell r="C690" t="str">
            <v>MF-085A/19</v>
          </cell>
          <cell r="E690" t="str">
            <v>FOSFATO DIAMÓNICO GRANULAR</v>
          </cell>
          <cell r="F690" t="str">
            <v>GAVILON</v>
          </cell>
          <cell r="P690">
            <v>100</v>
          </cell>
          <cell r="R690" t="str">
            <v>CFR</v>
          </cell>
          <cell r="S690">
            <v>372</v>
          </cell>
          <cell r="Y690">
            <v>43734</v>
          </cell>
          <cell r="AF690" t="str">
            <v>PAITA</v>
          </cell>
        </row>
        <row r="691">
          <cell r="C691" t="str">
            <v>MF-085B/19</v>
          </cell>
          <cell r="E691" t="str">
            <v>FOSFATO DIAMÓNICO GRANULAR</v>
          </cell>
          <cell r="F691" t="str">
            <v>GAVILON</v>
          </cell>
          <cell r="P691">
            <v>865</v>
          </cell>
          <cell r="R691" t="str">
            <v>CFR</v>
          </cell>
          <cell r="S691">
            <v>372</v>
          </cell>
          <cell r="Y691">
            <v>43736</v>
          </cell>
          <cell r="AF691" t="str">
            <v>SALAVERRY</v>
          </cell>
        </row>
        <row r="692">
          <cell r="C692" t="str">
            <v>MF-085C/19</v>
          </cell>
          <cell r="E692" t="str">
            <v>FOSFATO DIAMÓNICO GRANULAR</v>
          </cell>
          <cell r="F692" t="str">
            <v>GAVILON</v>
          </cell>
          <cell r="P692">
            <v>1150</v>
          </cell>
          <cell r="R692" t="str">
            <v>CFR</v>
          </cell>
          <cell r="S692">
            <v>372</v>
          </cell>
          <cell r="Y692">
            <v>43742</v>
          </cell>
          <cell r="AF692" t="str">
            <v>CALLAO</v>
          </cell>
        </row>
        <row r="693">
          <cell r="C693" t="str">
            <v>MF-085D/19</v>
          </cell>
          <cell r="E693" t="str">
            <v>FOSFATO DIAMÓNICO GRANULAR</v>
          </cell>
          <cell r="F693" t="str">
            <v>GAVILON</v>
          </cell>
          <cell r="P693">
            <v>500</v>
          </cell>
          <cell r="R693" t="str">
            <v>CFR</v>
          </cell>
          <cell r="S693">
            <v>372</v>
          </cell>
          <cell r="Y693">
            <v>43744</v>
          </cell>
          <cell r="AF693" t="str">
            <v>PISCO</v>
          </cell>
        </row>
        <row r="694">
          <cell r="C694" t="str">
            <v>MF-085E/19</v>
          </cell>
          <cell r="E694" t="str">
            <v>FOSFATO DIAMÓNICO GRANULAR</v>
          </cell>
          <cell r="F694" t="str">
            <v>GAVILON</v>
          </cell>
          <cell r="P694">
            <v>1052</v>
          </cell>
          <cell r="R694" t="str">
            <v>CFR</v>
          </cell>
          <cell r="S694">
            <v>372</v>
          </cell>
          <cell r="Y694">
            <v>43746</v>
          </cell>
          <cell r="AF694" t="str">
            <v>MATARANI</v>
          </cell>
        </row>
        <row r="695">
          <cell r="C695" t="str">
            <v>MF-086A/19</v>
          </cell>
          <cell r="E695" t="str">
            <v>SULFATO DE AMONIO BLANCO ESTÁNDAR</v>
          </cell>
          <cell r="F695" t="str">
            <v>GAVILON</v>
          </cell>
          <cell r="P695">
            <v>2890</v>
          </cell>
          <cell r="R695" t="str">
            <v>CFR</v>
          </cell>
          <cell r="S695">
            <v>147.5</v>
          </cell>
          <cell r="Y695">
            <v>43734</v>
          </cell>
          <cell r="AF695" t="str">
            <v>PAITA</v>
          </cell>
        </row>
        <row r="696">
          <cell r="C696" t="str">
            <v>MF-086B/19</v>
          </cell>
          <cell r="E696" t="str">
            <v>SULFATO DE AMONIO BLANCO ESTÁNDAR</v>
          </cell>
          <cell r="F696" t="str">
            <v>GAVILON</v>
          </cell>
          <cell r="P696">
            <v>4660</v>
          </cell>
          <cell r="R696" t="str">
            <v>CFR</v>
          </cell>
          <cell r="S696">
            <v>147.5</v>
          </cell>
          <cell r="Y696">
            <v>43737</v>
          </cell>
          <cell r="AF696" t="str">
            <v>SALAVERRY</v>
          </cell>
        </row>
        <row r="697">
          <cell r="C697" t="str">
            <v>MF-086C/19</v>
          </cell>
          <cell r="E697" t="str">
            <v>SULFATO DE AMONIO BLANCO ESTÁNDAR</v>
          </cell>
          <cell r="F697" t="str">
            <v>GAVILON</v>
          </cell>
          <cell r="P697">
            <v>750</v>
          </cell>
          <cell r="R697" t="str">
            <v>CFR</v>
          </cell>
          <cell r="S697">
            <v>147.5</v>
          </cell>
          <cell r="Y697">
            <v>43742</v>
          </cell>
          <cell r="AF697" t="str">
            <v>CALLAO</v>
          </cell>
        </row>
        <row r="698">
          <cell r="C698" t="str">
            <v>MF-086D/19</v>
          </cell>
          <cell r="E698" t="str">
            <v>SULFATO DE AMONIO BLANCO ESTÁNDAR</v>
          </cell>
          <cell r="F698" t="str">
            <v>GAVILON</v>
          </cell>
          <cell r="P698">
            <v>370</v>
          </cell>
          <cell r="R698" t="str">
            <v>CFR</v>
          </cell>
          <cell r="S698">
            <v>147.5</v>
          </cell>
          <cell r="Y698">
            <v>43744</v>
          </cell>
          <cell r="AF698" t="str">
            <v>PISCO</v>
          </cell>
        </row>
        <row r="699">
          <cell r="C699" t="str">
            <v>MF-086E/19</v>
          </cell>
          <cell r="E699" t="str">
            <v>SULFATO DE AMONIO BLANCO ESTÁNDAR</v>
          </cell>
          <cell r="F699" t="str">
            <v>GAVILON</v>
          </cell>
          <cell r="P699">
            <v>650</v>
          </cell>
          <cell r="R699" t="str">
            <v>CFR</v>
          </cell>
          <cell r="S699">
            <v>147.5</v>
          </cell>
          <cell r="Y699">
            <v>43746</v>
          </cell>
          <cell r="AF699" t="str">
            <v>MATARANI</v>
          </cell>
        </row>
        <row r="700">
          <cell r="C700" t="str">
            <v>MF-087A/19</v>
          </cell>
          <cell r="E700" t="str">
            <v>NITRATO DE CALCIO PREMIUM</v>
          </cell>
          <cell r="F700" t="str">
            <v>URALCHEM</v>
          </cell>
          <cell r="P700">
            <v>168</v>
          </cell>
          <cell r="R700" t="str">
            <v>CFR</v>
          </cell>
          <cell r="S700">
            <v>340</v>
          </cell>
          <cell r="Y700">
            <v>43768</v>
          </cell>
          <cell r="AF700" t="str">
            <v>PAITA</v>
          </cell>
        </row>
        <row r="701">
          <cell r="C701" t="str">
            <v>MF-087B/19</v>
          </cell>
          <cell r="E701" t="str">
            <v>NITRATO DE CALCIO PREMIUM</v>
          </cell>
          <cell r="F701" t="str">
            <v>URALCHEM</v>
          </cell>
          <cell r="P701">
            <v>120</v>
          </cell>
          <cell r="R701" t="str">
            <v>CFR</v>
          </cell>
          <cell r="S701">
            <v>338</v>
          </cell>
          <cell r="Y701">
            <v>43770</v>
          </cell>
          <cell r="AF701" t="str">
            <v>CALLAO</v>
          </cell>
        </row>
        <row r="702">
          <cell r="C702" t="str">
            <v>MF-088/19</v>
          </cell>
          <cell r="E702" t="str">
            <v xml:space="preserve">SULFATO DE MAGNESIO HEPTAHIDRATADO </v>
          </cell>
          <cell r="F702" t="str">
            <v>STAR GRACE MINING CO.,LTD</v>
          </cell>
          <cell r="P702">
            <v>400.4</v>
          </cell>
          <cell r="R702" t="str">
            <v>CFR</v>
          </cell>
          <cell r="S702">
            <v>124</v>
          </cell>
          <cell r="Y702">
            <v>43760</v>
          </cell>
          <cell r="AF702" t="str">
            <v>PAITA</v>
          </cell>
        </row>
        <row r="703">
          <cell r="C703" t="str">
            <v>MF-089/19</v>
          </cell>
          <cell r="E703" t="str">
            <v>NITRATO DE MAGNESIO HEXAHIDRATADO</v>
          </cell>
          <cell r="F703" t="str">
            <v>MITSUI &amp; CO., Ltda</v>
          </cell>
          <cell r="P703">
            <v>170.4</v>
          </cell>
          <cell r="R703" t="str">
            <v>CFR</v>
          </cell>
          <cell r="S703">
            <v>270</v>
          </cell>
          <cell r="Y703">
            <v>43724</v>
          </cell>
          <cell r="AF703" t="str">
            <v>PAITA</v>
          </cell>
        </row>
        <row r="704">
          <cell r="C704" t="str">
            <v>MF-090/19</v>
          </cell>
          <cell r="E704" t="str">
            <v>FOSFATO MONOAMÓNICO CRISTALIZADO</v>
          </cell>
          <cell r="F704" t="str">
            <v>KEYTRADE</v>
          </cell>
          <cell r="P704">
            <v>449.625</v>
          </cell>
          <cell r="R704" t="str">
            <v>CPT</v>
          </cell>
          <cell r="S704">
            <v>670</v>
          </cell>
          <cell r="Y704">
            <v>43798</v>
          </cell>
          <cell r="AF704" t="str">
            <v>PAITA</v>
          </cell>
        </row>
        <row r="705">
          <cell r="C705" t="str">
            <v>MF-091/19</v>
          </cell>
          <cell r="E705" t="str">
            <v>FOSFATO MONOAMÓNICO CRISTALIZADO</v>
          </cell>
          <cell r="F705" t="str">
            <v>KEYTRADE</v>
          </cell>
          <cell r="P705">
            <v>110</v>
          </cell>
          <cell r="R705" t="str">
            <v>CPT</v>
          </cell>
          <cell r="S705">
            <v>703</v>
          </cell>
          <cell r="Y705">
            <v>43770</v>
          </cell>
          <cell r="AF705" t="str">
            <v>MATARANI</v>
          </cell>
        </row>
        <row r="706">
          <cell r="C706" t="str">
            <v>MF-092/19</v>
          </cell>
          <cell r="E706" t="str">
            <v>FOSFATO MONOAMÓNICO CRISTALIZADO (MX)</v>
          </cell>
          <cell r="F706" t="str">
            <v>NITRON GROUP LLC</v>
          </cell>
          <cell r="P706">
            <v>100</v>
          </cell>
          <cell r="R706" t="str">
            <v>CFR</v>
          </cell>
          <cell r="S706">
            <v>957</v>
          </cell>
          <cell r="Y706">
            <v>43755</v>
          </cell>
          <cell r="AF706" t="str">
            <v>MATARANI</v>
          </cell>
        </row>
        <row r="707">
          <cell r="C707" t="str">
            <v>MF-093/19</v>
          </cell>
          <cell r="E707" t="str">
            <v>UREA ADBLUE (BIG BAG)</v>
          </cell>
          <cell r="F707" t="str">
            <v>PHOSAGRO</v>
          </cell>
          <cell r="P707">
            <v>374.4</v>
          </cell>
          <cell r="R707" t="str">
            <v>CFR</v>
          </cell>
          <cell r="S707">
            <v>340</v>
          </cell>
          <cell r="Y707">
            <v>43749</v>
          </cell>
          <cell r="AF707" t="str">
            <v>CALLAO</v>
          </cell>
        </row>
        <row r="708">
          <cell r="C708" t="str">
            <v>MF-094/19</v>
          </cell>
          <cell r="E708" t="str">
            <v>NITRATO DE MAGNESIO HEXAHIDRATADO</v>
          </cell>
          <cell r="F708" t="str">
            <v>DREYMOOR</v>
          </cell>
          <cell r="P708">
            <v>300</v>
          </cell>
          <cell r="R708" t="str">
            <v>CFR</v>
          </cell>
          <cell r="S708">
            <v>269</v>
          </cell>
          <cell r="Y708">
            <v>43757</v>
          </cell>
          <cell r="AF708" t="str">
            <v>CALLAO</v>
          </cell>
        </row>
        <row r="709">
          <cell r="C709" t="str">
            <v>MF-095A1/19</v>
          </cell>
          <cell r="E709" t="str">
            <v>SAL DOBLE DE NITRATO DE CALCIO Y AMONIO</v>
          </cell>
          <cell r="F709" t="str">
            <v>KEYTRADE</v>
          </cell>
          <cell r="P709">
            <v>930</v>
          </cell>
          <cell r="R709" t="str">
            <v>CFR</v>
          </cell>
          <cell r="S709">
            <v>244.5</v>
          </cell>
          <cell r="Y709">
            <v>43757</v>
          </cell>
          <cell r="AF709" t="str">
            <v>CALLAO</v>
          </cell>
        </row>
        <row r="710">
          <cell r="C710" t="str">
            <v>MF-095A2/19</v>
          </cell>
          <cell r="E710" t="str">
            <v>SAL DOBLE DE NITRATO DE CALCIO Y AMONIO</v>
          </cell>
          <cell r="F710" t="str">
            <v>KEYTRADE</v>
          </cell>
          <cell r="P710">
            <v>600</v>
          </cell>
          <cell r="R710" t="str">
            <v>CFR</v>
          </cell>
          <cell r="S710">
            <v>244.5</v>
          </cell>
          <cell r="Y710">
            <v>43757</v>
          </cell>
          <cell r="AF710" t="str">
            <v>CALLAO</v>
          </cell>
        </row>
        <row r="711">
          <cell r="C711" t="str">
            <v>MF-095B1/19</v>
          </cell>
          <cell r="E711" t="str">
            <v>SAL DOBLE DE NITRATO DE CALCIO Y AMONIO</v>
          </cell>
          <cell r="F711" t="str">
            <v>KEYTRADE</v>
          </cell>
          <cell r="P711">
            <v>896</v>
          </cell>
          <cell r="R711" t="str">
            <v>CPT</v>
          </cell>
          <cell r="S711">
            <v>244</v>
          </cell>
          <cell r="Y711">
            <v>43760</v>
          </cell>
          <cell r="AF711" t="str">
            <v>PAITA</v>
          </cell>
        </row>
        <row r="712">
          <cell r="C712" t="str">
            <v>MF-095B2/19</v>
          </cell>
          <cell r="E712" t="str">
            <v>SAL DOBLE DE NITRATO DE CALCIO Y AMONIO</v>
          </cell>
          <cell r="F712" t="str">
            <v>KEYTRADE</v>
          </cell>
          <cell r="P712">
            <v>700</v>
          </cell>
          <cell r="R712" t="str">
            <v>CPT</v>
          </cell>
          <cell r="S712">
            <v>244</v>
          </cell>
          <cell r="Y712">
            <v>43788</v>
          </cell>
          <cell r="AF712" t="str">
            <v>PAITA</v>
          </cell>
        </row>
        <row r="713">
          <cell r="C713" t="str">
            <v>MF-096A/19</v>
          </cell>
          <cell r="E713" t="str">
            <v>POTASHPLUS A GRANEL</v>
          </cell>
          <cell r="F713" t="str">
            <v>ICL EUROPE COOPERATIEF U.A.</v>
          </cell>
          <cell r="P713">
            <v>194.96</v>
          </cell>
          <cell r="R713" t="str">
            <v>CFR</v>
          </cell>
          <cell r="S713">
            <v>275</v>
          </cell>
          <cell r="Y713">
            <v>43739</v>
          </cell>
          <cell r="AF713" t="str">
            <v>CALLAO</v>
          </cell>
        </row>
        <row r="714">
          <cell r="C714" t="str">
            <v>MF-096B/19</v>
          </cell>
          <cell r="E714" t="str">
            <v>POTASHPLUS A GRANEL</v>
          </cell>
          <cell r="F714" t="str">
            <v>ICL EUROPE COOPERATIEF U.A.</v>
          </cell>
          <cell r="P714">
            <v>111.86</v>
          </cell>
          <cell r="R714" t="str">
            <v>CFR</v>
          </cell>
          <cell r="S714">
            <v>275</v>
          </cell>
          <cell r="Y714">
            <v>43742</v>
          </cell>
          <cell r="AF714" t="str">
            <v>PAITA</v>
          </cell>
        </row>
        <row r="715">
          <cell r="C715" t="str">
            <v>MF-097A/19</v>
          </cell>
          <cell r="E715" t="str">
            <v>SULFATO DE ZINC HEPTAHIDRATADO</v>
          </cell>
          <cell r="F715" t="str">
            <v>JM FERTILIZER</v>
          </cell>
          <cell r="P715">
            <v>300</v>
          </cell>
          <cell r="R715" t="str">
            <v>CFR</v>
          </cell>
          <cell r="S715">
            <v>500</v>
          </cell>
          <cell r="Y715">
            <v>43810</v>
          </cell>
          <cell r="AF715" t="str">
            <v>CALLAO</v>
          </cell>
        </row>
        <row r="716">
          <cell r="C716" t="str">
            <v>MF-097B/19</v>
          </cell>
          <cell r="E716" t="str">
            <v>SULFATO DE ZINC HEPTAHIDRATADO</v>
          </cell>
          <cell r="F716" t="str">
            <v>JM FERTILIZER</v>
          </cell>
          <cell r="P716">
            <v>202.3</v>
          </cell>
          <cell r="R716" t="str">
            <v>CFR</v>
          </cell>
          <cell r="S716">
            <v>505</v>
          </cell>
          <cell r="Y716">
            <v>43788</v>
          </cell>
          <cell r="AF716" t="str">
            <v>PAITA</v>
          </cell>
        </row>
        <row r="717">
          <cell r="C717" t="str">
            <v>MF-098A1/19</v>
          </cell>
          <cell r="E717" t="str">
            <v>ÁCIDO FOSFÓRICO</v>
          </cell>
          <cell r="F717" t="str">
            <v>NITRON GROUP LLC</v>
          </cell>
          <cell r="P717">
            <v>504</v>
          </cell>
          <cell r="R717" t="str">
            <v>CFR</v>
          </cell>
          <cell r="S717">
            <v>884</v>
          </cell>
          <cell r="Y717">
            <v>43756</v>
          </cell>
          <cell r="AF717" t="str">
            <v>CALLAO</v>
          </cell>
        </row>
        <row r="718">
          <cell r="C718" t="str">
            <v>MF-098A2/19</v>
          </cell>
          <cell r="E718" t="str">
            <v>ÁCIDO FOSFÓRICO</v>
          </cell>
          <cell r="F718" t="str">
            <v>NITRON GROUP LLC</v>
          </cell>
          <cell r="P718">
            <v>480</v>
          </cell>
          <cell r="R718" t="str">
            <v>CFR</v>
          </cell>
          <cell r="S718">
            <v>884</v>
          </cell>
          <cell r="Y718">
            <v>43760</v>
          </cell>
          <cell r="AF718" t="str">
            <v>CALLAO</v>
          </cell>
        </row>
        <row r="719">
          <cell r="C719" t="str">
            <v>MF-098A3/19</v>
          </cell>
          <cell r="E719" t="str">
            <v>ÁCIDO FOSFÓRICO</v>
          </cell>
          <cell r="F719" t="str">
            <v>NITRON GROUP LLC</v>
          </cell>
          <cell r="P719">
            <v>16</v>
          </cell>
          <cell r="R719" t="str">
            <v>CFR</v>
          </cell>
          <cell r="S719">
            <v>884</v>
          </cell>
          <cell r="Y719">
            <v>43774</v>
          </cell>
          <cell r="AF719" t="str">
            <v>CALLAO</v>
          </cell>
        </row>
        <row r="720">
          <cell r="C720" t="str">
            <v>MF-098A4/19</v>
          </cell>
          <cell r="E720" t="str">
            <v>ÁCIDO FOSFÓRICO</v>
          </cell>
          <cell r="F720" t="str">
            <v>NITRON GROUP LLC</v>
          </cell>
          <cell r="P720">
            <v>8</v>
          </cell>
          <cell r="R720" t="str">
            <v>CFR</v>
          </cell>
          <cell r="S720">
            <v>884</v>
          </cell>
          <cell r="Y720">
            <v>43910</v>
          </cell>
          <cell r="AF720" t="str">
            <v>CALLAO</v>
          </cell>
        </row>
        <row r="721">
          <cell r="C721" t="str">
            <v>MF-099A1/19</v>
          </cell>
          <cell r="E721" t="str">
            <v xml:space="preserve">SULFATO DE MAGNESIO HEPTAHIDRATADO </v>
          </cell>
          <cell r="F721" t="str">
            <v>STAR GRACE MINING CO.,LTD</v>
          </cell>
          <cell r="P721">
            <v>286</v>
          </cell>
          <cell r="R721" t="str">
            <v>CFR</v>
          </cell>
          <cell r="S721">
            <v>123</v>
          </cell>
          <cell r="Y721">
            <v>43816</v>
          </cell>
          <cell r="AF721" t="str">
            <v>PAITA</v>
          </cell>
        </row>
        <row r="722">
          <cell r="C722" t="str">
            <v>MF-099A2/19</v>
          </cell>
          <cell r="E722" t="str">
            <v xml:space="preserve">SULFATO DE MAGNESIO HEPTAHIDRATADO </v>
          </cell>
          <cell r="F722" t="str">
            <v>STAR GRACE MINING CO.,LTD</v>
          </cell>
          <cell r="P722">
            <v>314.60000000000002</v>
          </cell>
          <cell r="R722" t="str">
            <v>CFR</v>
          </cell>
          <cell r="S722">
            <v>123</v>
          </cell>
          <cell r="Y722">
            <v>43886</v>
          </cell>
          <cell r="AF722" t="str">
            <v>PAITA</v>
          </cell>
        </row>
        <row r="723">
          <cell r="C723" t="str">
            <v>MF-100.1/19</v>
          </cell>
          <cell r="E723" t="str">
            <v xml:space="preserve">SULFATO DE MAGNESIO HEPTAHIDRATADO </v>
          </cell>
          <cell r="F723" t="str">
            <v>DREYMOOR</v>
          </cell>
          <cell r="P723">
            <v>192.5</v>
          </cell>
          <cell r="R723" t="str">
            <v>CFR</v>
          </cell>
          <cell r="S723">
            <v>112</v>
          </cell>
          <cell r="Y723">
            <v>43810</v>
          </cell>
          <cell r="AF723" t="str">
            <v>CALLAO</v>
          </cell>
        </row>
        <row r="724">
          <cell r="C724" t="str">
            <v>MF-100.2/19</v>
          </cell>
          <cell r="E724" t="str">
            <v xml:space="preserve">SULFATO DE MAGNESIO HEPTAHIDRATADO </v>
          </cell>
          <cell r="F724" t="str">
            <v>DREYMOOR</v>
          </cell>
          <cell r="P724">
            <v>189</v>
          </cell>
          <cell r="R724" t="str">
            <v>CFR</v>
          </cell>
          <cell r="S724">
            <v>112</v>
          </cell>
          <cell r="Y724">
            <v>43810</v>
          </cell>
          <cell r="AF724" t="str">
            <v>CALLAO</v>
          </cell>
        </row>
        <row r="725">
          <cell r="C725" t="str">
            <v>MF-100.3/19</v>
          </cell>
          <cell r="E725" t="str">
            <v xml:space="preserve">SULFATO DE MAGNESIO HEPTAHIDRATADO </v>
          </cell>
          <cell r="F725" t="str">
            <v>DREYMOOR</v>
          </cell>
          <cell r="P725">
            <v>918.75</v>
          </cell>
          <cell r="R725" t="str">
            <v>CFR</v>
          </cell>
          <cell r="S725">
            <v>112</v>
          </cell>
          <cell r="Y725">
            <v>43845</v>
          </cell>
          <cell r="AF725" t="str">
            <v>CALLAO</v>
          </cell>
        </row>
        <row r="726">
          <cell r="C726" t="str">
            <v>MF-101A1/19</v>
          </cell>
          <cell r="E726" t="str">
            <v>SULFATO DE POTASIO SOLUBLE</v>
          </cell>
          <cell r="F726" t="str">
            <v>INDAGRO</v>
          </cell>
          <cell r="P726">
            <v>392</v>
          </cell>
          <cell r="R726" t="str">
            <v>CPT</v>
          </cell>
          <cell r="S726">
            <v>505.49</v>
          </cell>
          <cell r="Y726">
            <v>43753</v>
          </cell>
          <cell r="AF726" t="str">
            <v>CALLAO</v>
          </cell>
        </row>
        <row r="727">
          <cell r="C727" t="str">
            <v>MF-101A2/19</v>
          </cell>
          <cell r="E727" t="str">
            <v>SULFATO DE POTASIO SOLUBLE</v>
          </cell>
          <cell r="F727" t="str">
            <v>INDAGRO</v>
          </cell>
          <cell r="P727">
            <v>710.5</v>
          </cell>
          <cell r="R727" t="str">
            <v>CPT</v>
          </cell>
          <cell r="S727">
            <v>513.59</v>
          </cell>
          <cell r="Y727">
            <v>43771</v>
          </cell>
          <cell r="AF727" t="str">
            <v>PAITA</v>
          </cell>
        </row>
        <row r="728">
          <cell r="C728" t="str">
            <v>MF-101B/19</v>
          </cell>
          <cell r="E728" t="str">
            <v>SULFATO DE POTASIO SOLUBLE</v>
          </cell>
          <cell r="F728" t="str">
            <v>INDAGRO</v>
          </cell>
          <cell r="P728">
            <v>906.5</v>
          </cell>
          <cell r="R728" t="str">
            <v>CPT</v>
          </cell>
          <cell r="S728">
            <v>513.59</v>
          </cell>
          <cell r="Y728">
            <v>43777</v>
          </cell>
          <cell r="AF728" t="str">
            <v>PAITA</v>
          </cell>
        </row>
        <row r="729">
          <cell r="C729" t="str">
            <v>MF-102/19</v>
          </cell>
          <cell r="E729" t="str">
            <v>MICROELEMENTO SFERA 4 A GRANEL</v>
          </cell>
          <cell r="F729" t="str">
            <v>MANTTRA AMERICAS</v>
          </cell>
          <cell r="P729">
            <v>52</v>
          </cell>
          <cell r="R729" t="str">
            <v>CFR</v>
          </cell>
          <cell r="S729">
            <v>285</v>
          </cell>
          <cell r="Y729">
            <v>43726</v>
          </cell>
          <cell r="AF729" t="str">
            <v>CALLAO</v>
          </cell>
        </row>
        <row r="730">
          <cell r="C730" t="str">
            <v>MF-103A1/19</v>
          </cell>
          <cell r="E730" t="str">
            <v>UREA ADBLUE (BIG BAG)</v>
          </cell>
          <cell r="F730" t="str">
            <v>PHOSAGRO</v>
          </cell>
          <cell r="P730">
            <v>374.4</v>
          </cell>
          <cell r="R730" t="str">
            <v>CFR</v>
          </cell>
          <cell r="S730">
            <v>320</v>
          </cell>
          <cell r="Y730">
            <v>43774</v>
          </cell>
          <cell r="AF730" t="str">
            <v>CALLAO</v>
          </cell>
        </row>
        <row r="731">
          <cell r="C731" t="str">
            <v>MF-103A2/19</v>
          </cell>
          <cell r="E731" t="str">
            <v>UREA ADBLUE (BIG BAG)</v>
          </cell>
          <cell r="F731" t="str">
            <v>PHOSAGRO</v>
          </cell>
          <cell r="P731">
            <v>371.2</v>
          </cell>
          <cell r="R731" t="str">
            <v>CFR</v>
          </cell>
          <cell r="S731">
            <v>320</v>
          </cell>
          <cell r="Y731">
            <v>43789</v>
          </cell>
          <cell r="AF731" t="str">
            <v>CALLAO</v>
          </cell>
        </row>
        <row r="732">
          <cell r="C732" t="str">
            <v>MF-104A1/19</v>
          </cell>
          <cell r="E732" t="str">
            <v>FOSFATO MONOAMÓNICO GRANULAR</v>
          </cell>
          <cell r="F732" t="str">
            <v>HELMAG</v>
          </cell>
          <cell r="P732">
            <v>800</v>
          </cell>
          <cell r="R732" t="str">
            <v>CFR</v>
          </cell>
          <cell r="S732">
            <v>366.6</v>
          </cell>
          <cell r="Y732">
            <v>43729</v>
          </cell>
          <cell r="AF732" t="str">
            <v>SALAVERRY</v>
          </cell>
        </row>
        <row r="733">
          <cell r="C733" t="str">
            <v>MF-104A2/19 (VTA GAV)</v>
          </cell>
          <cell r="E733" t="str">
            <v>FOSFATO MONOAMÓNICO GRANULAR</v>
          </cell>
          <cell r="F733" t="str">
            <v>HELMAG</v>
          </cell>
          <cell r="P733">
            <v>1000</v>
          </cell>
          <cell r="R733" t="str">
            <v>CFR</v>
          </cell>
          <cell r="S733">
            <v>360</v>
          </cell>
          <cell r="Y733">
            <v>43729</v>
          </cell>
          <cell r="AF733" t="str">
            <v>SALAVERRY</v>
          </cell>
        </row>
        <row r="734">
          <cell r="C734" t="str">
            <v>MF-104B1/19</v>
          </cell>
          <cell r="E734" t="str">
            <v>FOSFATO MONOAMÓNICO GRANULAR</v>
          </cell>
          <cell r="F734" t="str">
            <v>HELMAG</v>
          </cell>
          <cell r="P734">
            <v>2200</v>
          </cell>
          <cell r="R734" t="str">
            <v>CFR</v>
          </cell>
          <cell r="S734">
            <v>366.6</v>
          </cell>
          <cell r="Y734">
            <v>43735</v>
          </cell>
          <cell r="AF734" t="str">
            <v>MATARANI</v>
          </cell>
        </row>
        <row r="735">
          <cell r="C735" t="str">
            <v>MF-104B2/19 (VTA GAV)</v>
          </cell>
          <cell r="E735" t="str">
            <v>FOSFATO MONOAMÓNICO GRANULAR</v>
          </cell>
          <cell r="F735" t="str">
            <v>HELMAG</v>
          </cell>
          <cell r="P735">
            <v>2000</v>
          </cell>
          <cell r="R735" t="str">
            <v>CFR</v>
          </cell>
          <cell r="S735">
            <v>360</v>
          </cell>
          <cell r="Y735">
            <v>43735</v>
          </cell>
          <cell r="AF735" t="str">
            <v>MATARANI</v>
          </cell>
        </row>
        <row r="736">
          <cell r="C736" t="str">
            <v>MF-105A/19</v>
          </cell>
          <cell r="E736" t="str">
            <v>NITRATO DE CALCIO PREMIUM</v>
          </cell>
          <cell r="F736" t="str">
            <v>URALCHEM</v>
          </cell>
          <cell r="P736">
            <v>264</v>
          </cell>
          <cell r="R736" t="str">
            <v>CFR</v>
          </cell>
          <cell r="S736">
            <v>327</v>
          </cell>
          <cell r="Y736">
            <v>43802</v>
          </cell>
          <cell r="AF736" t="str">
            <v>PAITA</v>
          </cell>
        </row>
        <row r="737">
          <cell r="C737" t="str">
            <v>MF-105B/19</v>
          </cell>
          <cell r="E737" t="str">
            <v>NITRATO DE CALCIO PREMIUM</v>
          </cell>
          <cell r="F737" t="str">
            <v>URALCHEM</v>
          </cell>
          <cell r="P737">
            <v>264</v>
          </cell>
          <cell r="R737" t="str">
            <v>CFR</v>
          </cell>
          <cell r="S737">
            <v>327</v>
          </cell>
          <cell r="Y737">
            <v>43805</v>
          </cell>
          <cell r="AF737" t="str">
            <v>CALLAO</v>
          </cell>
        </row>
        <row r="738">
          <cell r="C738" t="str">
            <v>MF-106A/19</v>
          </cell>
          <cell r="E738" t="str">
            <v>SULFATO DE POTASIO SOLUBLE</v>
          </cell>
          <cell r="F738" t="str">
            <v xml:space="preserve">K+S ASIA PACIFIC PTE LTD                        </v>
          </cell>
          <cell r="P738">
            <v>72</v>
          </cell>
          <cell r="R738" t="str">
            <v>CPT</v>
          </cell>
          <cell r="S738">
            <v>495</v>
          </cell>
          <cell r="Y738">
            <v>43785</v>
          </cell>
          <cell r="AF738" t="str">
            <v>CALLAO</v>
          </cell>
        </row>
        <row r="739">
          <cell r="C739" t="str">
            <v>MF-106B/19</v>
          </cell>
          <cell r="E739" t="str">
            <v>SULFATO DE POTASIO SOLUBLE</v>
          </cell>
          <cell r="F739" t="str">
            <v xml:space="preserve">K+S ASIA PACIFIC PTE LTD                        </v>
          </cell>
          <cell r="P739">
            <v>72</v>
          </cell>
          <cell r="R739" t="str">
            <v>CPT</v>
          </cell>
          <cell r="S739">
            <v>499</v>
          </cell>
          <cell r="Y739">
            <v>43803</v>
          </cell>
          <cell r="AF739" t="str">
            <v>PAITA</v>
          </cell>
        </row>
        <row r="740">
          <cell r="C740" t="str">
            <v>MF-107/19</v>
          </cell>
          <cell r="E740" t="str">
            <v>FOSFATO MONOAMÓNICO CRISTALIZADO</v>
          </cell>
          <cell r="F740" t="str">
            <v>KEYTRADE</v>
          </cell>
          <cell r="P740">
            <v>140.625</v>
          </cell>
          <cell r="R740" t="str">
            <v>CPT</v>
          </cell>
          <cell r="S740">
            <v>665</v>
          </cell>
          <cell r="Y740">
            <v>43792</v>
          </cell>
          <cell r="AF740" t="str">
            <v>CALLAO</v>
          </cell>
        </row>
        <row r="741">
          <cell r="C741" t="str">
            <v>MF-108A1/19</v>
          </cell>
          <cell r="E741" t="str">
            <v>UREA PERLADA</v>
          </cell>
          <cell r="F741" t="str">
            <v>URALCHEM (MITSUI)</v>
          </cell>
          <cell r="P741">
            <v>323.62</v>
          </cell>
          <cell r="R741" t="str">
            <v>CFR</v>
          </cell>
          <cell r="S741">
            <v>287.8</v>
          </cell>
          <cell r="Y741">
            <v>43801</v>
          </cell>
          <cell r="AF741" t="str">
            <v>PAITA</v>
          </cell>
        </row>
        <row r="742">
          <cell r="C742" t="str">
            <v>MF-108A2/19</v>
          </cell>
          <cell r="E742" t="str">
            <v>UREA PERLADA</v>
          </cell>
          <cell r="F742" t="str">
            <v>URALCHEM (MITSUI)</v>
          </cell>
          <cell r="P742">
            <v>1546.38</v>
          </cell>
          <cell r="R742" t="str">
            <v>CFR</v>
          </cell>
          <cell r="S742">
            <v>287.8</v>
          </cell>
          <cell r="Y742">
            <v>43801</v>
          </cell>
          <cell r="AF742" t="str">
            <v>PAITA</v>
          </cell>
        </row>
        <row r="743">
          <cell r="C743" t="str">
            <v>MF-108B/19</v>
          </cell>
          <cell r="E743" t="str">
            <v>UREA PERLADA</v>
          </cell>
          <cell r="F743" t="str">
            <v>URALCHEM (MITSUI)</v>
          </cell>
          <cell r="P743">
            <v>2860</v>
          </cell>
          <cell r="R743" t="str">
            <v>CFR</v>
          </cell>
          <cell r="S743">
            <v>287.8</v>
          </cell>
          <cell r="Y743">
            <v>43803</v>
          </cell>
          <cell r="AF743" t="str">
            <v>SALAVERRY</v>
          </cell>
        </row>
        <row r="744">
          <cell r="C744" t="str">
            <v>MF-108C/19</v>
          </cell>
          <cell r="E744" t="str">
            <v>UREA PERLADA</v>
          </cell>
          <cell r="F744" t="str">
            <v>URALCHEM (MITSUI)</v>
          </cell>
          <cell r="P744">
            <v>990</v>
          </cell>
          <cell r="R744" t="str">
            <v>CFR</v>
          </cell>
          <cell r="S744">
            <v>287.8</v>
          </cell>
          <cell r="Y744">
            <v>43806</v>
          </cell>
          <cell r="AF744" t="str">
            <v>CALLAO</v>
          </cell>
        </row>
        <row r="745">
          <cell r="C745" t="str">
            <v>MF-108D/19</v>
          </cell>
          <cell r="E745" t="str">
            <v>UREA PERLADA</v>
          </cell>
          <cell r="F745" t="str">
            <v>URALCHEM (MITSUI)</v>
          </cell>
          <cell r="P745">
            <v>1540</v>
          </cell>
          <cell r="R745" t="str">
            <v>CFR</v>
          </cell>
          <cell r="S745">
            <v>287.8</v>
          </cell>
          <cell r="Y745">
            <v>43808</v>
          </cell>
          <cell r="AF745" t="str">
            <v>PISCO</v>
          </cell>
        </row>
        <row r="746">
          <cell r="C746" t="str">
            <v>MF-108E/19</v>
          </cell>
          <cell r="E746" t="str">
            <v>UREA PERLADA</v>
          </cell>
          <cell r="F746" t="str">
            <v>URALCHEM (MITSUI)</v>
          </cell>
          <cell r="P746">
            <v>1540</v>
          </cell>
          <cell r="R746" t="str">
            <v>CFR</v>
          </cell>
          <cell r="S746">
            <v>287.8</v>
          </cell>
          <cell r="Y746">
            <v>43810</v>
          </cell>
          <cell r="AF746" t="str">
            <v>MATARANI</v>
          </cell>
        </row>
        <row r="747">
          <cell r="C747" t="str">
            <v>MF-109A/19</v>
          </cell>
          <cell r="E747" t="str">
            <v>NITRATO DE AMONIO</v>
          </cell>
          <cell r="F747" t="str">
            <v>URALCHEM (MITSUI)</v>
          </cell>
          <cell r="P747">
            <v>1270</v>
          </cell>
          <cell r="R747" t="str">
            <v>CFR</v>
          </cell>
          <cell r="S747">
            <v>257.5</v>
          </cell>
          <cell r="Y747">
            <v>43801</v>
          </cell>
          <cell r="AF747" t="str">
            <v>PAITA</v>
          </cell>
        </row>
        <row r="748">
          <cell r="C748" t="str">
            <v>MF-109B/19</v>
          </cell>
          <cell r="E748" t="str">
            <v>NITRATO DE AMONIO</v>
          </cell>
          <cell r="F748" t="str">
            <v>URALCHEM (MITSUI)</v>
          </cell>
          <cell r="P748">
            <v>1540</v>
          </cell>
          <cell r="R748" t="str">
            <v>CFR</v>
          </cell>
          <cell r="S748">
            <v>257.5</v>
          </cell>
          <cell r="Y748">
            <v>43803</v>
          </cell>
          <cell r="AF748" t="str">
            <v>SALAVERRY</v>
          </cell>
        </row>
        <row r="749">
          <cell r="C749" t="str">
            <v>MF-109C/19</v>
          </cell>
          <cell r="E749" t="str">
            <v>NITRATO DE AMONIO</v>
          </cell>
          <cell r="F749" t="str">
            <v>URALCHEM (MITSUI)</v>
          </cell>
          <cell r="P749">
            <v>1540</v>
          </cell>
          <cell r="R749" t="str">
            <v>CFR</v>
          </cell>
          <cell r="S749">
            <v>257.5</v>
          </cell>
          <cell r="Y749">
            <v>43806</v>
          </cell>
          <cell r="AF749" t="str">
            <v>CALLAO</v>
          </cell>
        </row>
        <row r="750">
          <cell r="C750" t="str">
            <v>MF-109D/19</v>
          </cell>
          <cell r="E750" t="str">
            <v>NITRATO DE AMONIO</v>
          </cell>
          <cell r="F750" t="str">
            <v>URALCHEM (MITSUI)</v>
          </cell>
          <cell r="P750">
            <v>770</v>
          </cell>
          <cell r="R750" t="str">
            <v>CFR</v>
          </cell>
          <cell r="S750">
            <v>257.5</v>
          </cell>
          <cell r="Y750">
            <v>43808</v>
          </cell>
          <cell r="AF750" t="str">
            <v>PISCO</v>
          </cell>
        </row>
        <row r="751">
          <cell r="C751" t="str">
            <v>MF-109E/19</v>
          </cell>
          <cell r="E751" t="str">
            <v>NITRATO DE AMONIO</v>
          </cell>
          <cell r="F751" t="str">
            <v>URALCHEM (MITSUI)</v>
          </cell>
          <cell r="P751">
            <v>1480</v>
          </cell>
          <cell r="R751" t="str">
            <v>CFR</v>
          </cell>
          <cell r="S751">
            <v>257.5</v>
          </cell>
          <cell r="Y751">
            <v>43810</v>
          </cell>
          <cell r="AF751" t="str">
            <v>MATARANI</v>
          </cell>
        </row>
        <row r="752">
          <cell r="C752" t="str">
            <v>MF-110A/19</v>
          </cell>
          <cell r="E752" t="str">
            <v>NITRATO DE MAGNESIO HEXAHIDRATADO</v>
          </cell>
          <cell r="F752" t="str">
            <v>NEW CHINA CHEMICALS CO., LTD.</v>
          </cell>
          <cell r="P752">
            <v>200</v>
          </cell>
          <cell r="R752" t="str">
            <v>CIF</v>
          </cell>
          <cell r="S752">
            <v>252</v>
          </cell>
          <cell r="Y752">
            <v>43831</v>
          </cell>
          <cell r="AF752" t="str">
            <v>CALLAO</v>
          </cell>
        </row>
        <row r="753">
          <cell r="C753" t="str">
            <v>MF-110B/19</v>
          </cell>
          <cell r="E753" t="str">
            <v>NITRATO DE MAGNESIO HEXAHIDRATADO</v>
          </cell>
          <cell r="F753" t="str">
            <v>NEW CHINA CHEMICALS CO., LTD.</v>
          </cell>
          <cell r="P753">
            <v>216</v>
          </cell>
          <cell r="R753" t="str">
            <v>CIF</v>
          </cell>
          <cell r="S753">
            <v>260</v>
          </cell>
          <cell r="Y753">
            <v>43830</v>
          </cell>
          <cell r="AF753" t="str">
            <v>PAITA</v>
          </cell>
        </row>
        <row r="754">
          <cell r="C754" t="str">
            <v>MF-111.1/19</v>
          </cell>
          <cell r="E754" t="str">
            <v>SULFATO DE POTASIO SOLUBLE</v>
          </cell>
          <cell r="F754" t="str">
            <v>KEYTRADE</v>
          </cell>
          <cell r="P754">
            <v>300</v>
          </cell>
          <cell r="R754" t="str">
            <v>CPT</v>
          </cell>
          <cell r="S754">
            <v>505</v>
          </cell>
          <cell r="Y754">
            <v>43816</v>
          </cell>
          <cell r="AF754" t="str">
            <v>PAITA</v>
          </cell>
        </row>
        <row r="755">
          <cell r="C755" t="str">
            <v>MF-111.2/19</v>
          </cell>
          <cell r="E755" t="str">
            <v>SULFATO DE POTASIO SOLUBLE</v>
          </cell>
          <cell r="F755" t="str">
            <v>KEYTRADE</v>
          </cell>
          <cell r="P755">
            <v>600</v>
          </cell>
          <cell r="R755" t="str">
            <v>CPT</v>
          </cell>
          <cell r="S755">
            <v>505</v>
          </cell>
          <cell r="Y755">
            <v>43810</v>
          </cell>
          <cell r="AF755" t="str">
            <v>PAITA</v>
          </cell>
        </row>
        <row r="756">
          <cell r="C756" t="str">
            <v>MF-111.3/19</v>
          </cell>
          <cell r="E756" t="str">
            <v>SULFATO DE POTASIO SOLUBLE</v>
          </cell>
          <cell r="F756" t="str">
            <v>KEYTRADE</v>
          </cell>
          <cell r="P756">
            <v>650</v>
          </cell>
          <cell r="R756" t="str">
            <v>CPT</v>
          </cell>
          <cell r="S756">
            <v>505</v>
          </cell>
          <cell r="Y756">
            <v>43817</v>
          </cell>
          <cell r="AF756" t="str">
            <v>PAITA</v>
          </cell>
        </row>
        <row r="757">
          <cell r="C757" t="str">
            <v>MF-112.1/19</v>
          </cell>
          <cell r="E757" t="str">
            <v xml:space="preserve">SULFATO DE MAGNESIO HEPTAHIDRATADO </v>
          </cell>
          <cell r="F757" t="str">
            <v>STAR GRACE MINING CO.,LTD</v>
          </cell>
          <cell r="P757">
            <v>543.4</v>
          </cell>
          <cell r="R757" t="str">
            <v>CFR</v>
          </cell>
          <cell r="S757">
            <v>118</v>
          </cell>
          <cell r="Y757">
            <v>43865</v>
          </cell>
          <cell r="AF757" t="str">
            <v>PAITA</v>
          </cell>
        </row>
        <row r="758">
          <cell r="C758" t="str">
            <v>MF-112.2/19</v>
          </cell>
          <cell r="E758" t="str">
            <v xml:space="preserve">SULFATO DE MAGNESIO HEPTAHIDRATADO </v>
          </cell>
          <cell r="F758" t="str">
            <v>STAR GRACE MINING CO.,LTD</v>
          </cell>
          <cell r="P758">
            <v>171.60000000000002</v>
          </cell>
          <cell r="R758" t="str">
            <v>CFR</v>
          </cell>
          <cell r="S758">
            <v>118</v>
          </cell>
          <cell r="Y758">
            <v>43886</v>
          </cell>
          <cell r="AF758" t="str">
            <v>PAITA</v>
          </cell>
        </row>
        <row r="759">
          <cell r="C759" t="str">
            <v>MF-113A1/19</v>
          </cell>
          <cell r="E759" t="str">
            <v>UREA ADBLUE (BIG BAG)</v>
          </cell>
          <cell r="F759" t="str">
            <v>PHOSAGRO</v>
          </cell>
          <cell r="P759">
            <v>316.8</v>
          </cell>
          <cell r="R759" t="str">
            <v>CFR</v>
          </cell>
          <cell r="S759">
            <v>312</v>
          </cell>
          <cell r="Y759">
            <v>43826</v>
          </cell>
          <cell r="AF759" t="str">
            <v>CALLAO</v>
          </cell>
        </row>
        <row r="760">
          <cell r="C760" t="str">
            <v>MF-113A2/19</v>
          </cell>
          <cell r="E760" t="str">
            <v>UREA ADBLUE (BIG BAG)</v>
          </cell>
          <cell r="F760" t="str">
            <v>PHOSAGRO</v>
          </cell>
          <cell r="P760">
            <v>316.8</v>
          </cell>
          <cell r="R760" t="str">
            <v>CFR</v>
          </cell>
          <cell r="S760">
            <v>312</v>
          </cell>
          <cell r="Y760">
            <v>43819</v>
          </cell>
          <cell r="AF760" t="str">
            <v>CALLAO</v>
          </cell>
        </row>
        <row r="761">
          <cell r="C761" t="str">
            <v>MF-114A/19</v>
          </cell>
          <cell r="E761" t="str">
            <v>NITRATO DE MAGNESIO HEXAHIDRATADO</v>
          </cell>
          <cell r="F761" t="str">
            <v>MITSUI &amp; CO., Ltda</v>
          </cell>
          <cell r="P761">
            <v>162</v>
          </cell>
          <cell r="R761" t="str">
            <v>CFR</v>
          </cell>
          <cell r="S761">
            <v>277</v>
          </cell>
          <cell r="Y761">
            <v>43837</v>
          </cell>
          <cell r="AF761" t="str">
            <v>MATARANI</v>
          </cell>
        </row>
        <row r="762">
          <cell r="C762" t="str">
            <v>MF-115/19</v>
          </cell>
          <cell r="E762" t="str">
            <v>BROWN AGRONYL CR X 20KG</v>
          </cell>
          <cell r="F762" t="str">
            <v>LUENGO COLOR, SLU</v>
          </cell>
          <cell r="P762">
            <v>0.5</v>
          </cell>
          <cell r="R762" t="str">
            <v>CIF</v>
          </cell>
          <cell r="S762">
            <v>3933.5</v>
          </cell>
          <cell r="Y762">
            <v>43805</v>
          </cell>
          <cell r="AF762" t="str">
            <v>CALLAO</v>
          </cell>
        </row>
        <row r="763">
          <cell r="C763" t="str">
            <v>MF-116A/19</v>
          </cell>
          <cell r="E763" t="str">
            <v>UREA PERLADA</v>
          </cell>
          <cell r="F763" t="str">
            <v>GAVILON FERTILIZER LLC</v>
          </cell>
          <cell r="P763">
            <v>650</v>
          </cell>
          <cell r="R763" t="str">
            <v>CFR</v>
          </cell>
          <cell r="S763">
            <v>294.35000000000002</v>
          </cell>
          <cell r="Y763">
            <v>43807</v>
          </cell>
          <cell r="AF763" t="str">
            <v>PAITA</v>
          </cell>
        </row>
        <row r="764">
          <cell r="C764" t="str">
            <v>MF-116B/19</v>
          </cell>
          <cell r="E764" t="str">
            <v>UREA PERLADA</v>
          </cell>
          <cell r="F764" t="str">
            <v>GAVILON FERTILIZER LLC</v>
          </cell>
          <cell r="P764">
            <v>350</v>
          </cell>
          <cell r="R764" t="str">
            <v>CFR</v>
          </cell>
          <cell r="S764">
            <v>294.35000000000002</v>
          </cell>
          <cell r="Y764">
            <v>43809</v>
          </cell>
          <cell r="AF764" t="str">
            <v>SALAVERRY</v>
          </cell>
        </row>
        <row r="765">
          <cell r="C765" t="str">
            <v>MF-116C/19</v>
          </cell>
          <cell r="E765" t="str">
            <v>UREA PERLADA</v>
          </cell>
          <cell r="F765" t="str">
            <v>GAVILON FERTILIZER LLC</v>
          </cell>
          <cell r="P765">
            <v>400</v>
          </cell>
          <cell r="R765" t="str">
            <v>CFR</v>
          </cell>
          <cell r="S765">
            <v>294.35000000000002</v>
          </cell>
          <cell r="Y765">
            <v>43812</v>
          </cell>
          <cell r="AF765" t="str">
            <v>CALLAO</v>
          </cell>
        </row>
        <row r="766">
          <cell r="C766" t="str">
            <v>MF-116D/19</v>
          </cell>
          <cell r="E766" t="str">
            <v>UREA PERLADA</v>
          </cell>
          <cell r="F766" t="str">
            <v>GAVILON FERTILIZER LLC</v>
          </cell>
          <cell r="P766">
            <v>250</v>
          </cell>
          <cell r="R766" t="str">
            <v>CFR</v>
          </cell>
          <cell r="S766">
            <v>294.35000000000002</v>
          </cell>
          <cell r="Y766">
            <v>43815</v>
          </cell>
          <cell r="AF766" t="str">
            <v>MATARANI</v>
          </cell>
        </row>
        <row r="767">
          <cell r="C767" t="str">
            <v>MF-117A/19</v>
          </cell>
          <cell r="E767" t="str">
            <v>UREA GRANULADA</v>
          </cell>
          <cell r="F767" t="str">
            <v>GAVILON FERTILIZER LLC</v>
          </cell>
          <cell r="P767">
            <v>1400</v>
          </cell>
          <cell r="R767" t="str">
            <v>CFR</v>
          </cell>
          <cell r="S767">
            <v>307.54000000000002</v>
          </cell>
          <cell r="Y767">
            <v>43807</v>
          </cell>
          <cell r="AF767" t="str">
            <v>PAITA</v>
          </cell>
        </row>
        <row r="768">
          <cell r="C768" t="str">
            <v>MF-117B/19</v>
          </cell>
          <cell r="E768" t="str">
            <v>UREA GRANULADA</v>
          </cell>
          <cell r="F768" t="str">
            <v>GAVILON FERTILIZER LLC</v>
          </cell>
          <cell r="P768">
            <v>1100</v>
          </cell>
          <cell r="R768" t="str">
            <v>CFR</v>
          </cell>
          <cell r="S768">
            <v>307.54000000000002</v>
          </cell>
          <cell r="Y768">
            <v>43809</v>
          </cell>
          <cell r="AF768" t="str">
            <v>SALAVERRY</v>
          </cell>
        </row>
        <row r="769">
          <cell r="C769" t="str">
            <v>MF-117C/19</v>
          </cell>
          <cell r="E769" t="str">
            <v>UREA GRANULADA</v>
          </cell>
          <cell r="F769" t="str">
            <v>GAVILON FERTILIZER LLC</v>
          </cell>
          <cell r="P769">
            <v>400</v>
          </cell>
          <cell r="R769" t="str">
            <v>CFR</v>
          </cell>
          <cell r="S769">
            <v>307.54000000000002</v>
          </cell>
          <cell r="Y769">
            <v>43812</v>
          </cell>
          <cell r="AF769" t="str">
            <v>CALLAO</v>
          </cell>
        </row>
        <row r="770">
          <cell r="C770" t="str">
            <v>MF-117D/19</v>
          </cell>
          <cell r="E770" t="str">
            <v>UREA GRANULADA</v>
          </cell>
          <cell r="F770" t="str">
            <v>GAVILON FERTILIZER LLC</v>
          </cell>
          <cell r="P770">
            <v>400</v>
          </cell>
          <cell r="R770" t="str">
            <v>CFR</v>
          </cell>
          <cell r="S770">
            <v>307.54000000000002</v>
          </cell>
          <cell r="Y770">
            <v>43815</v>
          </cell>
          <cell r="AF770" t="str">
            <v>MATARANI</v>
          </cell>
        </row>
        <row r="771">
          <cell r="C771" t="str">
            <v>MF-118A/19</v>
          </cell>
          <cell r="E771" t="str">
            <v>FOSFATO DIAMÓNICO GRANULAR</v>
          </cell>
          <cell r="F771" t="str">
            <v>GAVILON FERTILIZER LLC</v>
          </cell>
          <cell r="P771">
            <v>200</v>
          </cell>
          <cell r="R771" t="str">
            <v>CFR</v>
          </cell>
          <cell r="S771">
            <v>346.11</v>
          </cell>
          <cell r="Y771">
            <v>43809</v>
          </cell>
          <cell r="AF771" t="str">
            <v>SALAVERRY</v>
          </cell>
        </row>
        <row r="772">
          <cell r="C772" t="str">
            <v>MF-118B/19</v>
          </cell>
          <cell r="E772" t="str">
            <v>FOSFATO DIAMÓNICO GRANULAR</v>
          </cell>
          <cell r="F772" t="str">
            <v>GAVILON FERTILIZER LLC</v>
          </cell>
          <cell r="P772">
            <v>2050</v>
          </cell>
          <cell r="R772" t="str">
            <v>CFR</v>
          </cell>
          <cell r="S772">
            <v>346.11</v>
          </cell>
          <cell r="Y772">
            <v>43812</v>
          </cell>
          <cell r="AF772" t="str">
            <v>CALLAO</v>
          </cell>
        </row>
        <row r="773">
          <cell r="C773" t="str">
            <v>MF-118C/19</v>
          </cell>
          <cell r="E773" t="str">
            <v>FOSFATO DIAMÓNICO GRANULAR</v>
          </cell>
          <cell r="F773" t="str">
            <v>GAVILON FERTILIZER LLC</v>
          </cell>
          <cell r="P773">
            <v>1600</v>
          </cell>
          <cell r="R773" t="str">
            <v>CFR</v>
          </cell>
          <cell r="S773">
            <v>346.11</v>
          </cell>
          <cell r="Y773">
            <v>43815</v>
          </cell>
          <cell r="AF773" t="str">
            <v>MATARANI</v>
          </cell>
        </row>
        <row r="774">
          <cell r="C774" t="str">
            <v>MF-119A/19</v>
          </cell>
          <cell r="E774" t="str">
            <v>CLORURO DE POTASIO ROJO GRANULAR</v>
          </cell>
          <cell r="F774" t="str">
            <v>GAVILON FERTILIZER LLC</v>
          </cell>
          <cell r="P774">
            <v>300</v>
          </cell>
          <cell r="R774" t="str">
            <v>CFR</v>
          </cell>
          <cell r="S774">
            <v>322.93</v>
          </cell>
          <cell r="Y774">
            <v>43807</v>
          </cell>
          <cell r="AF774" t="str">
            <v>PAITA</v>
          </cell>
        </row>
        <row r="775">
          <cell r="C775" t="str">
            <v>MF-119B/19</v>
          </cell>
          <cell r="E775" t="str">
            <v>CLORURO DE POTASIO ROJO GRANULAR</v>
          </cell>
          <cell r="F775" t="str">
            <v>GAVILON FERTILIZER LLC</v>
          </cell>
          <cell r="P775">
            <v>650</v>
          </cell>
          <cell r="R775" t="str">
            <v>CFR</v>
          </cell>
          <cell r="S775">
            <v>322.93</v>
          </cell>
          <cell r="Y775">
            <v>43809</v>
          </cell>
          <cell r="AF775" t="str">
            <v>SALAVERRY</v>
          </cell>
        </row>
        <row r="776">
          <cell r="C776" t="str">
            <v>MF-119C/19</v>
          </cell>
          <cell r="E776" t="str">
            <v>CLORURO DE POTASIO ROJO GRANULAR</v>
          </cell>
          <cell r="F776" t="str">
            <v>GAVILON FERTILIZER LLC</v>
          </cell>
          <cell r="P776">
            <v>1350</v>
          </cell>
          <cell r="R776" t="str">
            <v>CFR</v>
          </cell>
          <cell r="S776">
            <v>322.93</v>
          </cell>
          <cell r="Y776">
            <v>43812</v>
          </cell>
          <cell r="AF776" t="str">
            <v>CALLAO</v>
          </cell>
        </row>
        <row r="777">
          <cell r="C777" t="str">
            <v>MF-119D/19</v>
          </cell>
          <cell r="E777" t="str">
            <v>CLORURO DE POTASIO ROJO GRANULAR</v>
          </cell>
          <cell r="F777" t="str">
            <v>GAVILON FERTILIZER LLC</v>
          </cell>
          <cell r="P777">
            <v>450</v>
          </cell>
          <cell r="R777" t="str">
            <v>CFR</v>
          </cell>
          <cell r="S777">
            <v>322.93</v>
          </cell>
          <cell r="Y777">
            <v>43815</v>
          </cell>
          <cell r="AF777" t="str">
            <v>MATARANI</v>
          </cell>
        </row>
        <row r="778">
          <cell r="C778" t="str">
            <v>MF-120A/19</v>
          </cell>
          <cell r="E778" t="str">
            <v>NITRATO DE CALCIO PREMIUM</v>
          </cell>
          <cell r="F778" t="str">
            <v>URALCHEM</v>
          </cell>
          <cell r="P778">
            <v>264</v>
          </cell>
          <cell r="R778" t="str">
            <v>CFR</v>
          </cell>
          <cell r="S778">
            <v>327</v>
          </cell>
          <cell r="Y778">
            <v>43833</v>
          </cell>
          <cell r="AF778" t="str">
            <v>CALLAO</v>
          </cell>
        </row>
        <row r="779">
          <cell r="C779" t="str">
            <v>MF-120B/19</v>
          </cell>
          <cell r="E779" t="str">
            <v>NITRATO DE CALCIO PREMIUM</v>
          </cell>
          <cell r="F779" t="str">
            <v>URALCHEM</v>
          </cell>
          <cell r="P779">
            <v>264</v>
          </cell>
          <cell r="R779" t="str">
            <v>CFR</v>
          </cell>
          <cell r="S779">
            <v>327</v>
          </cell>
          <cell r="Y779">
            <v>43838</v>
          </cell>
          <cell r="AF779" t="str">
            <v>PAITA</v>
          </cell>
        </row>
        <row r="780">
          <cell r="C780" t="str">
            <v>MF-121A/19</v>
          </cell>
          <cell r="E780" t="str">
            <v>ÁCIDO FOSFÓRICO</v>
          </cell>
          <cell r="F780" t="str">
            <v>NITRON GROUP LLC</v>
          </cell>
          <cell r="P780">
            <v>408</v>
          </cell>
          <cell r="R780" t="str">
            <v>CFR</v>
          </cell>
          <cell r="S780">
            <v>870</v>
          </cell>
          <cell r="Y780">
            <v>43812</v>
          </cell>
          <cell r="AF780" t="str">
            <v>CALLAO</v>
          </cell>
        </row>
        <row r="781">
          <cell r="C781" t="str">
            <v>MF-121B/19</v>
          </cell>
          <cell r="E781" t="str">
            <v>ÁCIDO FOSFÓRICO</v>
          </cell>
          <cell r="F781" t="str">
            <v>NITRON GROUP LLC</v>
          </cell>
          <cell r="P781">
            <v>408</v>
          </cell>
          <cell r="R781" t="str">
            <v>CFR</v>
          </cell>
          <cell r="S781">
            <v>880</v>
          </cell>
          <cell r="Y781">
            <v>43826</v>
          </cell>
          <cell r="AF781" t="str">
            <v>PAITA</v>
          </cell>
        </row>
        <row r="782">
          <cell r="C782" t="str">
            <v>MF-122A/19</v>
          </cell>
          <cell r="E782" t="str">
            <v xml:space="preserve">SULFATO DE MAGNESIO HEPTAHIDRATADO </v>
          </cell>
          <cell r="F782" t="str">
            <v>STAR GRACE MINING CO.,LTD</v>
          </cell>
          <cell r="P782">
            <v>800.4</v>
          </cell>
          <cell r="R782" t="str">
            <v>CFR</v>
          </cell>
          <cell r="S782">
            <v>119.5</v>
          </cell>
          <cell r="Y782">
            <v>43872</v>
          </cell>
          <cell r="AF782" t="str">
            <v>CALLAO</v>
          </cell>
        </row>
        <row r="783">
          <cell r="C783" t="str">
            <v>MF-122B1/19</v>
          </cell>
          <cell r="E783" t="str">
            <v xml:space="preserve">SULFATO DE MAGNESIO HEPTAHIDRATADO </v>
          </cell>
          <cell r="F783" t="str">
            <v>STAR GRACE MINING CO.,LTD</v>
          </cell>
          <cell r="P783">
            <v>286</v>
          </cell>
          <cell r="R783" t="str">
            <v>CFR</v>
          </cell>
          <cell r="S783">
            <v>122</v>
          </cell>
          <cell r="Y783">
            <v>43865</v>
          </cell>
          <cell r="AF783" t="str">
            <v>PAITA</v>
          </cell>
        </row>
        <row r="784">
          <cell r="C784" t="str">
            <v>MF-122B2/19</v>
          </cell>
          <cell r="E784" t="str">
            <v xml:space="preserve">SULFATO DE MAGNESIO HEPTAHIDRATADO </v>
          </cell>
          <cell r="F784" t="str">
            <v>STAR GRACE MINING CO.,LTD</v>
          </cell>
          <cell r="P784">
            <v>514.79999999999995</v>
          </cell>
          <cell r="R784" t="str">
            <v>CFR</v>
          </cell>
          <cell r="S784">
            <v>122</v>
          </cell>
          <cell r="Y784">
            <v>43865</v>
          </cell>
          <cell r="AF784" t="str">
            <v>PAITA</v>
          </cell>
        </row>
        <row r="785">
          <cell r="C785" t="str">
            <v>MF-122C/19</v>
          </cell>
          <cell r="E785" t="str">
            <v xml:space="preserve">SULFATO DE MAGNESIO HEPTAHIDRATADO </v>
          </cell>
          <cell r="F785" t="str">
            <v>STAR GRACE MINING CO.,LTD</v>
          </cell>
          <cell r="P785">
            <v>108</v>
          </cell>
          <cell r="R785" t="str">
            <v>CFR</v>
          </cell>
          <cell r="S785">
            <v>145</v>
          </cell>
          <cell r="Y785">
            <v>43837</v>
          </cell>
          <cell r="AF785" t="str">
            <v>MATARANI</v>
          </cell>
        </row>
        <row r="786">
          <cell r="C786" t="str">
            <v>MF-123A/19</v>
          </cell>
          <cell r="E786" t="str">
            <v>SULFATO DE POTASIO SOLUBLE</v>
          </cell>
          <cell r="F786" t="str">
            <v>AMEROPA</v>
          </cell>
          <cell r="P786">
            <v>300</v>
          </cell>
          <cell r="R786" t="str">
            <v>CFR</v>
          </cell>
          <cell r="S786">
            <v>466.9</v>
          </cell>
          <cell r="Y786">
            <v>43820</v>
          </cell>
          <cell r="AF786" t="str">
            <v>CALLAO</v>
          </cell>
        </row>
        <row r="787">
          <cell r="C787" t="str">
            <v>MF-123B/19</v>
          </cell>
          <cell r="E787" t="str">
            <v>SULFATO DE POTASIO SOLUBLE</v>
          </cell>
          <cell r="F787" t="str">
            <v>AMEROPA</v>
          </cell>
          <cell r="P787">
            <v>300</v>
          </cell>
          <cell r="R787" t="str">
            <v>CFR</v>
          </cell>
          <cell r="S787">
            <v>481</v>
          </cell>
          <cell r="Y787">
            <v>43838</v>
          </cell>
          <cell r="AF787" t="str">
            <v>PAITA</v>
          </cell>
        </row>
        <row r="788">
          <cell r="C788" t="str">
            <v>MF-124A/19</v>
          </cell>
          <cell r="E788" t="str">
            <v>SULFATO DE POTASIO SOLUBLE</v>
          </cell>
          <cell r="F788" t="str">
            <v>AMEROPA</v>
          </cell>
          <cell r="P788">
            <v>300</v>
          </cell>
          <cell r="R788" t="str">
            <v>CFR</v>
          </cell>
          <cell r="S788">
            <v>466.9</v>
          </cell>
          <cell r="Y788">
            <v>43834</v>
          </cell>
          <cell r="AF788" t="str">
            <v>CALLAO</v>
          </cell>
        </row>
        <row r="789">
          <cell r="C789" t="str">
            <v>MF-124B/19</v>
          </cell>
          <cell r="E789" t="str">
            <v>SULFATO DE POTASIO SOLUBLE</v>
          </cell>
          <cell r="F789" t="str">
            <v>AMEROPA</v>
          </cell>
          <cell r="P789">
            <v>600</v>
          </cell>
          <cell r="R789" t="str">
            <v>CFR</v>
          </cell>
          <cell r="S789">
            <v>481</v>
          </cell>
          <cell r="Y789">
            <v>43844</v>
          </cell>
          <cell r="AF789" t="str">
            <v>PAITA</v>
          </cell>
        </row>
        <row r="790">
          <cell r="C790" t="str">
            <v>MF-125A/19</v>
          </cell>
          <cell r="E790" t="str">
            <v>SULFATO DE ZINC HEPTAHIDRATADO</v>
          </cell>
          <cell r="F790" t="str">
            <v>STAR GRACE MINING CO.,LTD</v>
          </cell>
          <cell r="P790">
            <v>300</v>
          </cell>
          <cell r="R790" t="str">
            <v>CFR</v>
          </cell>
          <cell r="S790">
            <v>515</v>
          </cell>
          <cell r="Y790">
            <v>43872</v>
          </cell>
          <cell r="AF790" t="str">
            <v>CALLAO</v>
          </cell>
        </row>
        <row r="791">
          <cell r="C791" t="str">
            <v>MF-125B/19</v>
          </cell>
          <cell r="E791" t="str">
            <v>SULFATO DE ZINC HEPTAHIDRATADO</v>
          </cell>
          <cell r="F791" t="str">
            <v>STAR GRACE MINING CO.,LTD</v>
          </cell>
          <cell r="P791">
            <v>171.6</v>
          </cell>
          <cell r="R791" t="str">
            <v>CFR</v>
          </cell>
          <cell r="S791">
            <v>512</v>
          </cell>
          <cell r="Y791">
            <v>43873</v>
          </cell>
          <cell r="AF791" t="str">
            <v>PAITA</v>
          </cell>
        </row>
        <row r="792">
          <cell r="C792" t="str">
            <v>MF-126A/19</v>
          </cell>
          <cell r="E792" t="str">
            <v>SULFATO DE POTASIO SOLUBLE</v>
          </cell>
          <cell r="F792" t="str">
            <v>AMEROPA</v>
          </cell>
          <cell r="P792">
            <v>300</v>
          </cell>
          <cell r="R792" t="str">
            <v>CFR</v>
          </cell>
          <cell r="S792">
            <v>466.9</v>
          </cell>
          <cell r="Y792">
            <v>43848</v>
          </cell>
          <cell r="AF792" t="str">
            <v>CALLAO</v>
          </cell>
        </row>
        <row r="793">
          <cell r="C793" t="str">
            <v>MF-126B1/19</v>
          </cell>
          <cell r="E793" t="str">
            <v>SULFATO DE POTASIO SOLUBLE</v>
          </cell>
          <cell r="F793" t="str">
            <v>AMEROPA</v>
          </cell>
          <cell r="P793">
            <v>600</v>
          </cell>
          <cell r="R793" t="str">
            <v>CFR</v>
          </cell>
          <cell r="S793">
            <v>481</v>
          </cell>
          <cell r="Y793">
            <v>43872</v>
          </cell>
          <cell r="AF793" t="str">
            <v>PAITA</v>
          </cell>
        </row>
        <row r="794">
          <cell r="C794" t="str">
            <v>MF-126B2/19</v>
          </cell>
          <cell r="E794" t="str">
            <v>SULFATO DE POTASIO SOLUBLE</v>
          </cell>
          <cell r="F794" t="str">
            <v>AMEROPA</v>
          </cell>
          <cell r="P794">
            <v>600</v>
          </cell>
          <cell r="R794" t="str">
            <v>CFR</v>
          </cell>
          <cell r="S794">
            <v>481</v>
          </cell>
          <cell r="Y794">
            <v>43872</v>
          </cell>
          <cell r="AF794" t="str">
            <v>PAITA</v>
          </cell>
        </row>
        <row r="795">
          <cell r="C795" t="str">
            <v>MF-127A/19</v>
          </cell>
          <cell r="E795" t="str">
            <v>SULFATO DE AMONIO BLANCO ESTÁNDAR</v>
          </cell>
          <cell r="F795" t="str">
            <v>GAVILON FERTILIZER LLC</v>
          </cell>
          <cell r="P795">
            <v>4800</v>
          </cell>
          <cell r="R795" t="str">
            <v>CFR</v>
          </cell>
          <cell r="S795">
            <v>151.04</v>
          </cell>
          <cell r="Y795">
            <v>43861</v>
          </cell>
          <cell r="AF795" t="str">
            <v>PAITA</v>
          </cell>
        </row>
        <row r="796">
          <cell r="C796" t="str">
            <v>MF-127B/19</v>
          </cell>
          <cell r="E796" t="str">
            <v>SULFATO DE AMONIO BLANCO ESTÁNDAR</v>
          </cell>
          <cell r="F796" t="str">
            <v>GAVILON FERTILIZER LLC</v>
          </cell>
          <cell r="P796">
            <v>1400</v>
          </cell>
          <cell r="R796" t="str">
            <v>CFR</v>
          </cell>
          <cell r="S796">
            <v>151.04</v>
          </cell>
          <cell r="Y796">
            <v>43866</v>
          </cell>
          <cell r="AF796" t="str">
            <v>SALAVERRY</v>
          </cell>
        </row>
        <row r="797">
          <cell r="C797" t="str">
            <v>MF-127C/19</v>
          </cell>
          <cell r="E797" t="str">
            <v>SULFATO DE AMONIO BLANCO ESTÁNDAR</v>
          </cell>
          <cell r="F797" t="str">
            <v>GAVILON FERTILIZER LLC</v>
          </cell>
          <cell r="P797">
            <v>300</v>
          </cell>
          <cell r="R797" t="str">
            <v>CFR</v>
          </cell>
          <cell r="S797">
            <v>151.04</v>
          </cell>
          <cell r="Y797">
            <v>43869</v>
          </cell>
          <cell r="AF797" t="str">
            <v>CALLAO</v>
          </cell>
        </row>
        <row r="798">
          <cell r="C798" t="str">
            <v>MF-127D/19</v>
          </cell>
          <cell r="E798" t="str">
            <v>SULFATO DE AMONIO BLANCO ESTÁNDAR</v>
          </cell>
          <cell r="F798" t="str">
            <v>GAVILON FERTILIZER LLC</v>
          </cell>
          <cell r="P798">
            <v>300</v>
          </cell>
          <cell r="R798" t="str">
            <v>CFR</v>
          </cell>
          <cell r="S798">
            <v>151.04</v>
          </cell>
          <cell r="Y798">
            <v>43872</v>
          </cell>
          <cell r="AF798" t="str">
            <v>MATARANI</v>
          </cell>
        </row>
        <row r="799">
          <cell r="C799" t="str">
            <v>MF-128A/19</v>
          </cell>
          <cell r="E799" t="str">
            <v>SULFATO DE POTASIO SOLUBLE ORG X 25KG - HORTISUL</v>
          </cell>
          <cell r="F799" t="str">
            <v xml:space="preserve">K+S KALI GMBH </v>
          </cell>
          <cell r="P799">
            <v>48</v>
          </cell>
          <cell r="R799" t="str">
            <v>CFR</v>
          </cell>
          <cell r="S799">
            <v>700</v>
          </cell>
          <cell r="Y799">
            <v>43846</v>
          </cell>
          <cell r="AF799" t="str">
            <v>CALLAO</v>
          </cell>
        </row>
        <row r="800">
          <cell r="C800" t="str">
            <v>MF-128B/19</v>
          </cell>
          <cell r="E800" t="str">
            <v>SULFATO DE POTASIO SOLUBLE ORG X 25KG - HORTISUL</v>
          </cell>
          <cell r="F800" t="str">
            <v xml:space="preserve">K+S KALI GMBH </v>
          </cell>
          <cell r="P800">
            <v>120</v>
          </cell>
          <cell r="R800" t="str">
            <v>CFR</v>
          </cell>
          <cell r="S800">
            <v>705</v>
          </cell>
          <cell r="Y800">
            <v>43845</v>
          </cell>
          <cell r="AF800" t="str">
            <v>PAITA</v>
          </cell>
        </row>
        <row r="801">
          <cell r="C801" t="str">
            <v>MF-129/19</v>
          </cell>
          <cell r="E801" t="str">
            <v>WOLFTRAX (MUESTRA)</v>
          </cell>
          <cell r="F801" t="str">
            <v>ANAGRA</v>
          </cell>
          <cell r="P801">
            <v>9.0699999999999999E-3</v>
          </cell>
          <cell r="R801" t="str">
            <v>CFR</v>
          </cell>
          <cell r="S801">
            <v>52260.198456449834</v>
          </cell>
          <cell r="Y801">
            <v>43741</v>
          </cell>
          <cell r="AF801" t="str">
            <v>CALLAO</v>
          </cell>
        </row>
        <row r="802">
          <cell r="C802" t="str">
            <v>MF-130.1/19</v>
          </cell>
          <cell r="E802" t="str">
            <v>BIPOCLEAN X 25KG</v>
          </cell>
          <cell r="F802" t="str">
            <v>IDAI NATURE</v>
          </cell>
          <cell r="P802">
            <v>2.4</v>
          </cell>
          <cell r="R802" t="str">
            <v>CIF</v>
          </cell>
          <cell r="S802">
            <v>4067.081377</v>
          </cell>
          <cell r="Y802">
            <v>43868</v>
          </cell>
          <cell r="AF802" t="str">
            <v>CALLAO</v>
          </cell>
        </row>
        <row r="803">
          <cell r="C803" t="str">
            <v>MF-130.2/19</v>
          </cell>
          <cell r="E803" t="str">
            <v>VEGEX CRISOIL X 20L</v>
          </cell>
          <cell r="F803" t="str">
            <v>IDAI NATURE</v>
          </cell>
          <cell r="P803">
            <v>1.92</v>
          </cell>
          <cell r="R803" t="str">
            <v>CIF</v>
          </cell>
          <cell r="S803">
            <v>39639.581380000003</v>
          </cell>
          <cell r="Y803">
            <v>43868</v>
          </cell>
          <cell r="AF803" t="str">
            <v>CALLAO</v>
          </cell>
        </row>
        <row r="804">
          <cell r="C804" t="str">
            <v>MF-130.3/19</v>
          </cell>
          <cell r="E804" t="str">
            <v>VEGEX CRISOIL X 1L</v>
          </cell>
          <cell r="F804" t="str">
            <v>IDAI NATURE</v>
          </cell>
          <cell r="P804">
            <v>0.79200000000000004</v>
          </cell>
          <cell r="R804" t="str">
            <v>CIF</v>
          </cell>
          <cell r="S804">
            <v>41084.581380000003</v>
          </cell>
          <cell r="Y804">
            <v>43868</v>
          </cell>
          <cell r="AF804" t="str">
            <v>CALLAO</v>
          </cell>
        </row>
        <row r="805">
          <cell r="C805" t="str">
            <v>MF-131/19</v>
          </cell>
          <cell r="E805" t="str">
            <v>AGROCOTE 38-3-3</v>
          </cell>
          <cell r="F805" t="str">
            <v>EVERRIS INTERNATIONAL B.V.</v>
          </cell>
          <cell r="P805">
            <v>18.14</v>
          </cell>
          <cell r="R805" t="str">
            <v>CIF</v>
          </cell>
          <cell r="S805">
            <v>1130.0999999999999</v>
          </cell>
          <cell r="Y805">
            <v>43874</v>
          </cell>
          <cell r="AF805" t="str">
            <v>CALLAO</v>
          </cell>
        </row>
        <row r="806">
          <cell r="C806" t="str">
            <v>MF-001/20</v>
          </cell>
          <cell r="E806" t="str">
            <v>FOSFATO MONOAMÓNICO CRISTALIZADO</v>
          </cell>
          <cell r="F806" t="str">
            <v>EVA-FERT AG</v>
          </cell>
          <cell r="P806">
            <v>426</v>
          </cell>
          <cell r="R806" t="str">
            <v>CFR</v>
          </cell>
          <cell r="S806">
            <v>614</v>
          </cell>
          <cell r="Y806">
            <v>43970</v>
          </cell>
          <cell r="AF806" t="str">
            <v>PAITA</v>
          </cell>
        </row>
        <row r="807">
          <cell r="C807" t="str">
            <v>MF-002/20</v>
          </cell>
          <cell r="E807" t="str">
            <v>FOSFATO MONOAMÓNICO CRISTALIZADO</v>
          </cell>
          <cell r="F807" t="str">
            <v>NORBRIGHT</v>
          </cell>
          <cell r="P807">
            <v>0</v>
          </cell>
          <cell r="R807">
            <v>0</v>
          </cell>
          <cell r="S807">
            <v>0</v>
          </cell>
          <cell r="Y807">
            <v>0</v>
          </cell>
          <cell r="AF807">
            <v>0</v>
          </cell>
        </row>
        <row r="808">
          <cell r="C808" t="str">
            <v>MF-003A/20</v>
          </cell>
          <cell r="E808" t="str">
            <v xml:space="preserve">SULFATO DE MAGNESIO HEPTAHIDRATADO </v>
          </cell>
          <cell r="F808" t="str">
            <v>STAR GRACE MINING CO.,LTD</v>
          </cell>
          <cell r="P808">
            <v>400.8</v>
          </cell>
          <cell r="R808" t="str">
            <v>CFR</v>
          </cell>
          <cell r="S808">
            <v>114</v>
          </cell>
          <cell r="Y808">
            <v>43957</v>
          </cell>
          <cell r="AF808" t="str">
            <v>CALLAO</v>
          </cell>
        </row>
        <row r="809">
          <cell r="C809" t="str">
            <v>MF-003B1/20</v>
          </cell>
          <cell r="E809" t="str">
            <v xml:space="preserve">SULFATO DE MAGNESIO HEPTAHIDRATADO </v>
          </cell>
          <cell r="F809" t="str">
            <v>STAR GRACE MINING CO.,LTD</v>
          </cell>
          <cell r="P809">
            <v>400.4</v>
          </cell>
          <cell r="R809" t="str">
            <v>CFR</v>
          </cell>
          <cell r="S809">
            <v>129</v>
          </cell>
          <cell r="Y809">
            <v>43945</v>
          </cell>
          <cell r="AF809" t="str">
            <v>PAITA</v>
          </cell>
        </row>
        <row r="810">
          <cell r="C810" t="str">
            <v>MF-003B2/20</v>
          </cell>
          <cell r="E810" t="str">
            <v xml:space="preserve">SULFATO DE MAGNESIO HEPTAHIDRATADO </v>
          </cell>
          <cell r="F810" t="str">
            <v>STAR GRACE MINING CO.,LTD</v>
          </cell>
          <cell r="P810">
            <v>400.4</v>
          </cell>
          <cell r="R810" t="str">
            <v>CFR</v>
          </cell>
          <cell r="S810">
            <v>129</v>
          </cell>
          <cell r="Y810">
            <v>43945</v>
          </cell>
          <cell r="AF810" t="str">
            <v>PAITA</v>
          </cell>
        </row>
        <row r="811">
          <cell r="C811" t="str">
            <v>MF-004/20</v>
          </cell>
          <cell r="E811" t="str">
            <v>MICROMAX ZN EDTA X 1KG</v>
          </cell>
          <cell r="F811" t="str">
            <v>PPC ADOB Sp. z o.o. Sp. K.</v>
          </cell>
          <cell r="P811">
            <v>8.4</v>
          </cell>
          <cell r="R811" t="str">
            <v>CIF</v>
          </cell>
          <cell r="S811">
            <v>4530</v>
          </cell>
          <cell r="Y811">
            <v>43952</v>
          </cell>
          <cell r="AF811" t="str">
            <v>CALLAO</v>
          </cell>
        </row>
        <row r="812">
          <cell r="C812" t="str">
            <v>MF-005.1/20</v>
          </cell>
          <cell r="E812" t="str">
            <v>ÁCIDO FOSFÓRICO</v>
          </cell>
          <cell r="F812" t="str">
            <v>NITRON GROUP LLC</v>
          </cell>
          <cell r="P812">
            <v>576</v>
          </cell>
          <cell r="R812" t="str">
            <v>CFR</v>
          </cell>
          <cell r="S812">
            <v>890</v>
          </cell>
          <cell r="Y812">
            <v>43910</v>
          </cell>
          <cell r="AF812" t="str">
            <v>CALLAO</v>
          </cell>
        </row>
        <row r="813">
          <cell r="C813" t="str">
            <v>MF-005.2/20</v>
          </cell>
          <cell r="E813" t="str">
            <v>ÁCIDO FOSFÓRICO</v>
          </cell>
          <cell r="F813" t="str">
            <v>NITRON GROUP LLC</v>
          </cell>
          <cell r="P813">
            <v>24</v>
          </cell>
          <cell r="R813" t="str">
            <v>CFR</v>
          </cell>
          <cell r="S813">
            <v>890</v>
          </cell>
          <cell r="Y813">
            <v>43916</v>
          </cell>
          <cell r="AF813" t="str">
            <v>CALLAO</v>
          </cell>
        </row>
        <row r="814">
          <cell r="C814" t="str">
            <v>MF-006/20</v>
          </cell>
          <cell r="E814" t="str">
            <v>ÁCIDO FOSFÓRICO</v>
          </cell>
          <cell r="F814" t="str">
            <v>NITRON GROUP LLC</v>
          </cell>
          <cell r="P814">
            <v>600</v>
          </cell>
          <cell r="R814" t="str">
            <v>CFR</v>
          </cell>
          <cell r="S814">
            <v>900</v>
          </cell>
          <cell r="Y814">
            <v>43917</v>
          </cell>
          <cell r="AF814" t="str">
            <v>PAITA</v>
          </cell>
        </row>
        <row r="815">
          <cell r="C815" t="str">
            <v>MF-007/20</v>
          </cell>
          <cell r="E815" t="str">
            <v>ÁCIDO FOSFÓRICO</v>
          </cell>
          <cell r="F815" t="str">
            <v>NITRON GROUP LLC</v>
          </cell>
          <cell r="P815">
            <v>144</v>
          </cell>
          <cell r="R815" t="str">
            <v>CFR</v>
          </cell>
          <cell r="S815">
            <v>914</v>
          </cell>
          <cell r="Y815">
            <v>43908</v>
          </cell>
          <cell r="AF815" t="str">
            <v>MATARANI</v>
          </cell>
        </row>
        <row r="816">
          <cell r="C816" t="str">
            <v>MF-008/20</v>
          </cell>
          <cell r="E816" t="str">
            <v>FOSFATO MONOAMÓNICO CRISTALIZADO</v>
          </cell>
          <cell r="F816" t="str">
            <v>MITSUI &amp; CO., Ltda</v>
          </cell>
          <cell r="P816">
            <v>0</v>
          </cell>
          <cell r="R816">
            <v>0</v>
          </cell>
          <cell r="S816">
            <v>0</v>
          </cell>
          <cell r="Y816">
            <v>0</v>
          </cell>
          <cell r="AF816">
            <v>0</v>
          </cell>
        </row>
        <row r="817">
          <cell r="C817" t="str">
            <v>MF-009A/20</v>
          </cell>
          <cell r="E817" t="str">
            <v>NITRATO DE POTASIO CRISTALIZADO</v>
          </cell>
          <cell r="F817" t="str">
            <v>ACF MINERA</v>
          </cell>
          <cell r="P817">
            <v>408</v>
          </cell>
          <cell r="R817" t="str">
            <v>CFR</v>
          </cell>
          <cell r="S817">
            <v>707</v>
          </cell>
          <cell r="Y817">
            <v>43891</v>
          </cell>
          <cell r="AF817" t="str">
            <v>CALLAO</v>
          </cell>
        </row>
        <row r="818">
          <cell r="C818" t="str">
            <v>MF-009B/20</v>
          </cell>
          <cell r="E818" t="str">
            <v>NITRATO DE POTASIO CRISTALIZADO</v>
          </cell>
          <cell r="F818" t="str">
            <v>ACF MINERA</v>
          </cell>
          <cell r="P818">
            <v>264</v>
          </cell>
          <cell r="R818" t="str">
            <v>CFR</v>
          </cell>
          <cell r="S818">
            <v>715</v>
          </cell>
          <cell r="Y818">
            <v>43908</v>
          </cell>
          <cell r="AF818" t="str">
            <v>PAITA</v>
          </cell>
        </row>
        <row r="819">
          <cell r="C819" t="str">
            <v>MF-010A/20</v>
          </cell>
          <cell r="E819" t="str">
            <v>NITRATO DE POTASIO CRISTALIZADO</v>
          </cell>
          <cell r="F819" t="str">
            <v>ACF MINERA</v>
          </cell>
          <cell r="P819">
            <v>408</v>
          </cell>
          <cell r="R819" t="str">
            <v>CFR</v>
          </cell>
          <cell r="S819">
            <v>707</v>
          </cell>
          <cell r="Y819">
            <v>43920</v>
          </cell>
          <cell r="AF819" t="str">
            <v>CALLAO</v>
          </cell>
        </row>
        <row r="820">
          <cell r="C820" t="str">
            <v>MF-010B/20</v>
          </cell>
          <cell r="E820" t="str">
            <v>NITRATO DE POTASIO CRISTALIZADO</v>
          </cell>
          <cell r="F820" t="str">
            <v>ACF MINERA</v>
          </cell>
          <cell r="P820">
            <v>264</v>
          </cell>
          <cell r="R820" t="str">
            <v>CFR</v>
          </cell>
          <cell r="S820">
            <v>715</v>
          </cell>
          <cell r="Y820">
            <v>43943</v>
          </cell>
          <cell r="AF820" t="str">
            <v>PAITA</v>
          </cell>
        </row>
        <row r="821">
          <cell r="C821" t="str">
            <v>MF-011/20</v>
          </cell>
          <cell r="E821" t="str">
            <v>NITRATO DE POTASIO CRISTALIZADO</v>
          </cell>
          <cell r="F821" t="str">
            <v>WEGROW AG</v>
          </cell>
          <cell r="P821">
            <v>440</v>
          </cell>
          <cell r="R821" t="str">
            <v>CPT</v>
          </cell>
          <cell r="S821">
            <v>719</v>
          </cell>
          <cell r="Y821">
            <v>43937</v>
          </cell>
          <cell r="AF821" t="str">
            <v>CALLAO</v>
          </cell>
        </row>
        <row r="822">
          <cell r="C822" t="str">
            <v>MF-012A/20</v>
          </cell>
          <cell r="E822" t="str">
            <v>NITRATO DE AMONIO</v>
          </cell>
          <cell r="F822" t="str">
            <v>URALCHEM (MITSUI)</v>
          </cell>
          <cell r="P822">
            <v>1250</v>
          </cell>
          <cell r="R822" t="str">
            <v>CFR</v>
          </cell>
          <cell r="S822">
            <v>262.8</v>
          </cell>
          <cell r="Y822">
            <v>43924</v>
          </cell>
          <cell r="AF822" t="str">
            <v>PAITA</v>
          </cell>
        </row>
        <row r="823">
          <cell r="C823" t="str">
            <v>MF-012B/20</v>
          </cell>
          <cell r="E823" t="str">
            <v>NITRATO DE AMONIO</v>
          </cell>
          <cell r="F823" t="str">
            <v>URALCHEM (MITSUI)</v>
          </cell>
          <cell r="P823">
            <v>1600</v>
          </cell>
          <cell r="R823" t="str">
            <v>CFR</v>
          </cell>
          <cell r="S823">
            <v>262.8</v>
          </cell>
          <cell r="Y823">
            <v>43926</v>
          </cell>
          <cell r="AF823" t="str">
            <v>SALAVERRY</v>
          </cell>
        </row>
        <row r="824">
          <cell r="C824" t="str">
            <v>MF-012C/20</v>
          </cell>
          <cell r="E824" t="str">
            <v>NITRATO DE AMONIO</v>
          </cell>
          <cell r="F824" t="str">
            <v>URALCHEM (MITSUI)</v>
          </cell>
          <cell r="P824">
            <v>1760</v>
          </cell>
          <cell r="R824" t="str">
            <v>CFR</v>
          </cell>
          <cell r="S824">
            <v>262.8</v>
          </cell>
          <cell r="Y824">
            <v>43931</v>
          </cell>
          <cell r="AF824" t="str">
            <v>CALLAO</v>
          </cell>
        </row>
        <row r="825">
          <cell r="C825" t="str">
            <v>MF-012D/20</v>
          </cell>
          <cell r="E825" t="str">
            <v>NITRATO DE AMONIO</v>
          </cell>
          <cell r="F825" t="str">
            <v>URALCHEM (MITSUI)</v>
          </cell>
          <cell r="P825">
            <v>500</v>
          </cell>
          <cell r="R825" t="str">
            <v>CFR</v>
          </cell>
          <cell r="S825">
            <v>262.8</v>
          </cell>
          <cell r="Y825">
            <v>43931</v>
          </cell>
          <cell r="AF825" t="str">
            <v>CALLAO</v>
          </cell>
        </row>
        <row r="826">
          <cell r="C826" t="str">
            <v>MF-012E/20</v>
          </cell>
          <cell r="E826" t="str">
            <v>NITRATO DE AMONIO</v>
          </cell>
          <cell r="F826" t="str">
            <v>URALCHEM (MITSUI)</v>
          </cell>
          <cell r="P826">
            <v>1067.28</v>
          </cell>
          <cell r="R826" t="str">
            <v>CFR</v>
          </cell>
          <cell r="S826">
            <v>262.8</v>
          </cell>
          <cell r="Y826">
            <v>43937</v>
          </cell>
          <cell r="AF826" t="str">
            <v>MATARANI</v>
          </cell>
        </row>
        <row r="827">
          <cell r="C827" t="str">
            <v>MF-013A/20</v>
          </cell>
          <cell r="E827" t="str">
            <v>UREA PERLADA</v>
          </cell>
          <cell r="F827" t="str">
            <v>URALCHEM (MITSUI)</v>
          </cell>
          <cell r="P827">
            <v>400</v>
          </cell>
          <cell r="R827" t="str">
            <v>CFR</v>
          </cell>
          <cell r="S827">
            <v>259.2</v>
          </cell>
          <cell r="Y827">
            <v>43924</v>
          </cell>
          <cell r="AF827" t="str">
            <v>PAITA</v>
          </cell>
        </row>
        <row r="828">
          <cell r="C828" t="str">
            <v>MF-013B/20</v>
          </cell>
          <cell r="E828" t="str">
            <v>UREA PERLADA</v>
          </cell>
          <cell r="F828" t="str">
            <v>URALCHEM (MITSUI)</v>
          </cell>
          <cell r="P828">
            <v>400</v>
          </cell>
          <cell r="R828" t="str">
            <v>CFR</v>
          </cell>
          <cell r="S828">
            <v>259.2</v>
          </cell>
          <cell r="Y828">
            <v>43926</v>
          </cell>
          <cell r="AF828" t="str">
            <v>SALAVERRY</v>
          </cell>
        </row>
        <row r="829">
          <cell r="C829" t="str">
            <v>MF-013C/20</v>
          </cell>
          <cell r="E829" t="str">
            <v>UREA PERLADA</v>
          </cell>
          <cell r="F829" t="str">
            <v>URALCHEM (MITSUI)</v>
          </cell>
          <cell r="P829">
            <v>600</v>
          </cell>
          <cell r="R829" t="str">
            <v>CFR</v>
          </cell>
          <cell r="S829">
            <v>259.2</v>
          </cell>
          <cell r="Y829">
            <v>43928</v>
          </cell>
          <cell r="AF829" t="str">
            <v>CALLAO</v>
          </cell>
        </row>
        <row r="830">
          <cell r="C830" t="str">
            <v>MF-013D/20</v>
          </cell>
          <cell r="E830" t="str">
            <v>UREA PERLADA</v>
          </cell>
          <cell r="F830" t="str">
            <v>URALCHEM (MITSUI)</v>
          </cell>
          <cell r="P830">
            <v>885.03</v>
          </cell>
          <cell r="R830" t="str">
            <v>CFR</v>
          </cell>
          <cell r="S830">
            <v>259.2</v>
          </cell>
          <cell r="Y830">
            <v>43937</v>
          </cell>
          <cell r="AF830" t="str">
            <v>MATARANI</v>
          </cell>
        </row>
        <row r="831">
          <cell r="C831" t="str">
            <v>MF-014A/20</v>
          </cell>
          <cell r="E831" t="str">
            <v>NITRATO DE AMONIO</v>
          </cell>
          <cell r="F831" t="str">
            <v>GAVILON PERÚ (MITSUI)</v>
          </cell>
          <cell r="P831">
            <v>0</v>
          </cell>
          <cell r="R831">
            <v>0</v>
          </cell>
          <cell r="S831">
            <v>0</v>
          </cell>
          <cell r="Y831">
            <v>0</v>
          </cell>
          <cell r="AF831">
            <v>0</v>
          </cell>
        </row>
        <row r="832">
          <cell r="C832" t="str">
            <v>MF-014B/20</v>
          </cell>
          <cell r="E832" t="str">
            <v>NITRATO DE AMONIO</v>
          </cell>
          <cell r="F832" t="str">
            <v>GAVILON PERÚ (MITSUI)</v>
          </cell>
          <cell r="P832">
            <v>0</v>
          </cell>
          <cell r="R832">
            <v>0</v>
          </cell>
          <cell r="S832">
            <v>0</v>
          </cell>
          <cell r="Y832">
            <v>0</v>
          </cell>
          <cell r="AF832">
            <v>0</v>
          </cell>
        </row>
        <row r="833">
          <cell r="C833" t="str">
            <v>MF-014C/20</v>
          </cell>
          <cell r="E833" t="str">
            <v>NITRATO DE AMONIO</v>
          </cell>
          <cell r="F833" t="str">
            <v>GAVILON PERÚ (MITSUI)</v>
          </cell>
          <cell r="P833">
            <v>0</v>
          </cell>
          <cell r="R833">
            <v>0</v>
          </cell>
          <cell r="S833">
            <v>0</v>
          </cell>
          <cell r="Y833">
            <v>0</v>
          </cell>
          <cell r="AF833">
            <v>0</v>
          </cell>
        </row>
        <row r="834">
          <cell r="C834" t="str">
            <v>MF-014D/20</v>
          </cell>
          <cell r="E834" t="str">
            <v>NITRATO DE AMONIO</v>
          </cell>
          <cell r="F834" t="str">
            <v>GAVILON PERÚ (MITSUI)</v>
          </cell>
          <cell r="P834">
            <v>0</v>
          </cell>
          <cell r="R834">
            <v>0</v>
          </cell>
          <cell r="S834">
            <v>0</v>
          </cell>
          <cell r="Y834">
            <v>0</v>
          </cell>
          <cell r="AF834">
            <v>0</v>
          </cell>
        </row>
        <row r="835">
          <cell r="C835" t="str">
            <v>MF-015A/20</v>
          </cell>
          <cell r="E835" t="str">
            <v>UREA PERLADA</v>
          </cell>
          <cell r="F835" t="str">
            <v>NITRON GROUP LLC</v>
          </cell>
          <cell r="P835">
            <v>1500</v>
          </cell>
          <cell r="R835" t="str">
            <v>CFR</v>
          </cell>
          <cell r="S835">
            <v>260</v>
          </cell>
          <cell r="Y835">
            <v>43943</v>
          </cell>
          <cell r="AF835" t="str">
            <v>PAITA</v>
          </cell>
        </row>
        <row r="836">
          <cell r="C836" t="str">
            <v>MF-015B/20</v>
          </cell>
          <cell r="E836" t="str">
            <v>UREA PERLADA</v>
          </cell>
          <cell r="F836" t="str">
            <v>NITRON GROUP LLC</v>
          </cell>
          <cell r="P836">
            <v>1250</v>
          </cell>
          <cell r="R836" t="str">
            <v>CFR</v>
          </cell>
          <cell r="S836">
            <v>260</v>
          </cell>
          <cell r="Y836">
            <v>43946</v>
          </cell>
          <cell r="AF836" t="str">
            <v>SALAVERRY</v>
          </cell>
        </row>
        <row r="837">
          <cell r="C837" t="str">
            <v>MF-015C/20</v>
          </cell>
          <cell r="E837" t="str">
            <v>UREA PERLADA</v>
          </cell>
          <cell r="F837" t="str">
            <v>NITRON GROUP LLC</v>
          </cell>
          <cell r="P837">
            <v>1550</v>
          </cell>
          <cell r="R837" t="str">
            <v>CFR</v>
          </cell>
          <cell r="S837">
            <v>260</v>
          </cell>
          <cell r="Y837">
            <v>43951</v>
          </cell>
          <cell r="AF837" t="str">
            <v>CALLAO</v>
          </cell>
        </row>
        <row r="838">
          <cell r="C838" t="str">
            <v>MF-015D1/20</v>
          </cell>
          <cell r="E838" t="str">
            <v>UREA PERLADA</v>
          </cell>
          <cell r="F838" t="str">
            <v>NITRON GROUP LLC</v>
          </cell>
          <cell r="P838">
            <v>250</v>
          </cell>
          <cell r="R838" t="str">
            <v>CFR</v>
          </cell>
          <cell r="S838">
            <v>260</v>
          </cell>
          <cell r="Y838">
            <v>43956</v>
          </cell>
          <cell r="AF838" t="str">
            <v>MATARANI</v>
          </cell>
        </row>
        <row r="839">
          <cell r="C839" t="str">
            <v>MF-015D2/20</v>
          </cell>
          <cell r="E839" t="str">
            <v>UREA PERLADA</v>
          </cell>
          <cell r="F839" t="str">
            <v>NITRON GROUP LLC</v>
          </cell>
          <cell r="P839">
            <v>850</v>
          </cell>
          <cell r="R839" t="str">
            <v>CFR</v>
          </cell>
          <cell r="S839">
            <v>260</v>
          </cell>
          <cell r="Y839">
            <v>43956</v>
          </cell>
          <cell r="AF839" t="str">
            <v>MATARANI</v>
          </cell>
        </row>
        <row r="840">
          <cell r="C840" t="str">
            <v>MF-016A/20</v>
          </cell>
          <cell r="E840" t="str">
            <v>YARAMILA HYDRAN</v>
          </cell>
          <cell r="F840" t="str">
            <v>YARA PERÚ SRL</v>
          </cell>
          <cell r="P840">
            <v>2701</v>
          </cell>
          <cell r="R840" t="str">
            <v>CFR</v>
          </cell>
          <cell r="S840">
            <v>370.56899999999996</v>
          </cell>
          <cell r="Y840">
            <v>43943</v>
          </cell>
          <cell r="AF840" t="str">
            <v>PAITA</v>
          </cell>
        </row>
        <row r="841">
          <cell r="C841" t="str">
            <v>MF-016B/20</v>
          </cell>
          <cell r="E841" t="str">
            <v>YARAMILA HYDRAN</v>
          </cell>
          <cell r="F841" t="str">
            <v>YARA PERÚ SRL</v>
          </cell>
          <cell r="P841">
            <v>700</v>
          </cell>
          <cell r="R841" t="str">
            <v>CFR</v>
          </cell>
          <cell r="S841">
            <v>370.56899999999996</v>
          </cell>
          <cell r="Y841">
            <v>43946</v>
          </cell>
          <cell r="AF841" t="str">
            <v>SALAVERRY</v>
          </cell>
        </row>
        <row r="842">
          <cell r="C842" t="str">
            <v>MF-016C/20</v>
          </cell>
          <cell r="E842" t="str">
            <v>YARAMILA HYDRAN</v>
          </cell>
          <cell r="F842" t="str">
            <v>YARA PERÚ SRL</v>
          </cell>
          <cell r="P842">
            <v>1800</v>
          </cell>
          <cell r="R842" t="str">
            <v>CFR</v>
          </cell>
          <cell r="S842">
            <v>370.56899999999996</v>
          </cell>
          <cell r="Y842">
            <v>43951</v>
          </cell>
          <cell r="AF842" t="str">
            <v>CALLAO</v>
          </cell>
        </row>
        <row r="843">
          <cell r="C843" t="str">
            <v>MF-016D/20</v>
          </cell>
          <cell r="E843" t="str">
            <v>YARAMILA HYDRAN</v>
          </cell>
          <cell r="F843" t="str">
            <v>YARA PERÚ SRL</v>
          </cell>
          <cell r="P843">
            <v>800</v>
          </cell>
          <cell r="R843" t="str">
            <v>CFR</v>
          </cell>
          <cell r="S843">
            <v>370.56899999999996</v>
          </cell>
          <cell r="Y843">
            <v>43956</v>
          </cell>
          <cell r="AF843" t="str">
            <v>MATARANI</v>
          </cell>
        </row>
        <row r="844">
          <cell r="C844" t="str">
            <v>MF-017A/20</v>
          </cell>
          <cell r="E844" t="str">
            <v>YARAMILA INTEGRADOR NPK 15-09-20</v>
          </cell>
          <cell r="F844" t="str">
            <v>YARA PERÚ SRL</v>
          </cell>
          <cell r="P844">
            <v>200.4</v>
          </cell>
          <cell r="R844" t="str">
            <v>CFR</v>
          </cell>
          <cell r="S844">
            <v>446.72300000000001</v>
          </cell>
          <cell r="Y844">
            <v>43943</v>
          </cell>
          <cell r="AF844" t="str">
            <v>PAITA</v>
          </cell>
        </row>
        <row r="845">
          <cell r="C845" t="str">
            <v>MF-017B/20</v>
          </cell>
          <cell r="E845" t="str">
            <v>YARAMILA INTEGRADOR NPK 15-09-20</v>
          </cell>
          <cell r="F845" t="str">
            <v>YARA PERÚ SRL</v>
          </cell>
          <cell r="P845">
            <v>350.4</v>
          </cell>
          <cell r="R845" t="str">
            <v>CFR</v>
          </cell>
          <cell r="S845">
            <v>446.72300000000001</v>
          </cell>
          <cell r="Y845">
            <v>43946</v>
          </cell>
          <cell r="AF845" t="str">
            <v>SALAVERRY</v>
          </cell>
        </row>
        <row r="846">
          <cell r="C846" t="str">
            <v>MF-017C/20</v>
          </cell>
          <cell r="E846" t="str">
            <v>YARAMILA INTEGRADOR NPK 15-09-20</v>
          </cell>
          <cell r="F846" t="str">
            <v>YARA PERÚ SRL</v>
          </cell>
          <cell r="P846">
            <v>624</v>
          </cell>
          <cell r="R846" t="str">
            <v>CFR</v>
          </cell>
          <cell r="S846">
            <v>446.72300000000001</v>
          </cell>
          <cell r="Y846">
            <v>43951</v>
          </cell>
          <cell r="AF846" t="str">
            <v>CALLAO</v>
          </cell>
        </row>
        <row r="847">
          <cell r="C847" t="str">
            <v>MF-017D/20</v>
          </cell>
          <cell r="E847" t="str">
            <v>YARAMILA INTEGRADOR NPK 15-09-20</v>
          </cell>
          <cell r="F847" t="str">
            <v>YARA PERÚ SRL</v>
          </cell>
          <cell r="P847">
            <v>399.6</v>
          </cell>
          <cell r="R847" t="str">
            <v>CFR</v>
          </cell>
          <cell r="S847">
            <v>446.72300000000001</v>
          </cell>
          <cell r="Y847">
            <v>43956</v>
          </cell>
          <cell r="AF847" t="str">
            <v>MATARANI</v>
          </cell>
        </row>
        <row r="848">
          <cell r="C848" t="str">
            <v>MF-018A/20</v>
          </cell>
          <cell r="E848" t="str">
            <v>YARAMILA COMPLEX</v>
          </cell>
          <cell r="F848" t="str">
            <v>YARA PERÚ SRL</v>
          </cell>
          <cell r="P848">
            <v>900</v>
          </cell>
          <cell r="R848" t="str">
            <v>CFR</v>
          </cell>
          <cell r="S848">
            <v>506.11100000000005</v>
          </cell>
          <cell r="Y848">
            <v>43943</v>
          </cell>
          <cell r="AF848" t="str">
            <v>PAITA</v>
          </cell>
        </row>
        <row r="849">
          <cell r="C849" t="str">
            <v>MF-018B/20</v>
          </cell>
          <cell r="E849" t="str">
            <v>YARAMILA COMPLEX</v>
          </cell>
          <cell r="F849" t="str">
            <v>YARA PERÚ SRL</v>
          </cell>
          <cell r="P849">
            <v>700</v>
          </cell>
          <cell r="R849" t="str">
            <v>CFR</v>
          </cell>
          <cell r="S849">
            <v>506.11100000000005</v>
          </cell>
          <cell r="Y849">
            <v>43946</v>
          </cell>
          <cell r="AF849" t="str">
            <v>SALAVERRY</v>
          </cell>
        </row>
        <row r="850">
          <cell r="C850" t="str">
            <v>MF-018C/20</v>
          </cell>
          <cell r="E850" t="str">
            <v>YARAMILA COMPLEX</v>
          </cell>
          <cell r="F850" t="str">
            <v>YARA PERÚ SRL</v>
          </cell>
          <cell r="P850">
            <v>1718</v>
          </cell>
          <cell r="R850" t="str">
            <v>CFR</v>
          </cell>
          <cell r="S850">
            <v>506.11100000000005</v>
          </cell>
          <cell r="Y850">
            <v>43951</v>
          </cell>
          <cell r="AF850" t="str">
            <v>CALLAO</v>
          </cell>
        </row>
        <row r="851">
          <cell r="C851" t="str">
            <v>MF-018D/20</v>
          </cell>
          <cell r="E851" t="str">
            <v>YARAMILA COMPLEX</v>
          </cell>
          <cell r="F851" t="str">
            <v>YARA PERÚ SRL</v>
          </cell>
          <cell r="P851">
            <v>700</v>
          </cell>
          <cell r="R851" t="str">
            <v>CFR</v>
          </cell>
          <cell r="S851">
            <v>506.11100000000005</v>
          </cell>
          <cell r="Y851">
            <v>43956</v>
          </cell>
          <cell r="AF851" t="str">
            <v>MATARANI</v>
          </cell>
        </row>
        <row r="852">
          <cell r="C852" t="str">
            <v>MF-019/20</v>
          </cell>
          <cell r="E852" t="str">
            <v>YARAMILA INTEGRADOR NPK 15-09-20</v>
          </cell>
          <cell r="F852" t="str">
            <v>YARA PERÚ SRL</v>
          </cell>
          <cell r="P852">
            <v>0</v>
          </cell>
          <cell r="R852">
            <v>0</v>
          </cell>
          <cell r="S852">
            <v>0</v>
          </cell>
          <cell r="Y852">
            <v>0</v>
          </cell>
          <cell r="AF852">
            <v>0</v>
          </cell>
        </row>
        <row r="853">
          <cell r="C853" t="str">
            <v>MF-020/20</v>
          </cell>
          <cell r="E853" t="str">
            <v>YARAMILA INTEGRADOR NPK 15-09-20</v>
          </cell>
          <cell r="F853" t="str">
            <v>YARA PERÚ SRL</v>
          </cell>
          <cell r="P853">
            <v>0</v>
          </cell>
          <cell r="R853">
            <v>0</v>
          </cell>
          <cell r="S853">
            <v>0</v>
          </cell>
          <cell r="Y853">
            <v>0</v>
          </cell>
          <cell r="AF853">
            <v>0</v>
          </cell>
        </row>
        <row r="854">
          <cell r="C854" t="str">
            <v>MF-021/20</v>
          </cell>
          <cell r="E854" t="str">
            <v>YARAMILA INTEGRADOR NPK 15-09-20</v>
          </cell>
          <cell r="F854" t="str">
            <v>YARA PERÚ SRL</v>
          </cell>
          <cell r="P854">
            <v>0</v>
          </cell>
          <cell r="R854">
            <v>0</v>
          </cell>
          <cell r="S854">
            <v>0</v>
          </cell>
          <cell r="Y854">
            <v>0</v>
          </cell>
          <cell r="AF854">
            <v>0</v>
          </cell>
        </row>
        <row r="855">
          <cell r="C855" t="str">
            <v>MF-022A/20</v>
          </cell>
          <cell r="E855" t="str">
            <v>CLORURO DE POTASIO ROJO GRANULAR</v>
          </cell>
          <cell r="F855" t="str">
            <v>CANPOTEX</v>
          </cell>
          <cell r="P855">
            <v>5300</v>
          </cell>
          <cell r="R855" t="str">
            <v>CFR</v>
          </cell>
          <cell r="S855">
            <v>260</v>
          </cell>
          <cell r="Y855">
            <v>43931</v>
          </cell>
          <cell r="AF855" t="str">
            <v>SALAVERRY</v>
          </cell>
        </row>
        <row r="856">
          <cell r="C856" t="str">
            <v>MF-022B/20</v>
          </cell>
          <cell r="E856" t="str">
            <v>CLORURO DE POTASIO ROJO GRANULAR</v>
          </cell>
          <cell r="F856" t="str">
            <v>CANPOTEX</v>
          </cell>
          <cell r="P856">
            <v>4400</v>
          </cell>
          <cell r="R856" t="str">
            <v>CFR</v>
          </cell>
          <cell r="S856">
            <v>260</v>
          </cell>
          <cell r="Y856">
            <v>43935</v>
          </cell>
          <cell r="AF856" t="str">
            <v>CALLAO</v>
          </cell>
        </row>
        <row r="857">
          <cell r="C857" t="str">
            <v>MF-022C/20</v>
          </cell>
          <cell r="E857" t="str">
            <v>CLORURO DE POTASIO ROJO GRANULAR</v>
          </cell>
          <cell r="F857" t="str">
            <v>CANPOTEX</v>
          </cell>
          <cell r="P857">
            <v>1300</v>
          </cell>
          <cell r="R857" t="str">
            <v>CFR</v>
          </cell>
          <cell r="S857">
            <v>260</v>
          </cell>
          <cell r="Y857">
            <v>43939</v>
          </cell>
          <cell r="AF857" t="str">
            <v>MATARANI</v>
          </cell>
        </row>
        <row r="858">
          <cell r="C858" t="str">
            <v>MF-023/20</v>
          </cell>
          <cell r="E858" t="str">
            <v>KICKUP X 10LT</v>
          </cell>
          <cell r="F858" t="str">
            <v>ANAGRA</v>
          </cell>
          <cell r="P858">
            <v>0</v>
          </cell>
          <cell r="R858">
            <v>0</v>
          </cell>
          <cell r="S858">
            <v>0</v>
          </cell>
          <cell r="Y858">
            <v>0</v>
          </cell>
          <cell r="AF858">
            <v>0</v>
          </cell>
        </row>
        <row r="859">
          <cell r="C859" t="str">
            <v>MF-024/20</v>
          </cell>
          <cell r="E859" t="str">
            <v>YARALIVA CALCINIT X 25KG</v>
          </cell>
          <cell r="F859" t="str">
            <v>YARA PERÚ SRL</v>
          </cell>
          <cell r="P859">
            <v>200</v>
          </cell>
          <cell r="R859" t="str">
            <v>CFR</v>
          </cell>
          <cell r="S859">
            <v>235.21</v>
          </cell>
          <cell r="Y859">
            <v>43875</v>
          </cell>
          <cell r="AF859" t="str">
            <v>CALLAO</v>
          </cell>
        </row>
        <row r="860">
          <cell r="C860" t="str">
            <v>MF-025/20</v>
          </cell>
          <cell r="E860" t="str">
            <v>YARALIVA CALCINIT X 25KG</v>
          </cell>
          <cell r="F860" t="str">
            <v>YARA PERÚ SRL</v>
          </cell>
          <cell r="P860">
            <v>350</v>
          </cell>
          <cell r="R860" t="str">
            <v>CFR</v>
          </cell>
          <cell r="S860">
            <v>235.21</v>
          </cell>
          <cell r="Y860">
            <v>43875</v>
          </cell>
          <cell r="AF860" t="str">
            <v>CALLAO</v>
          </cell>
        </row>
        <row r="861">
          <cell r="C861" t="str">
            <v>MF-026/20</v>
          </cell>
          <cell r="E861" t="str">
            <v>YARALIVA CALCINIT X 25KG</v>
          </cell>
          <cell r="F861" t="str">
            <v>YARA PERÚ SRL</v>
          </cell>
          <cell r="P861">
            <v>250</v>
          </cell>
          <cell r="R861" t="str">
            <v>CFR</v>
          </cell>
          <cell r="S861">
            <v>235.21</v>
          </cell>
          <cell r="Y861">
            <v>43882</v>
          </cell>
          <cell r="AF861" t="str">
            <v>CALLAO</v>
          </cell>
        </row>
        <row r="862">
          <cell r="C862" t="str">
            <v>MF-027/20</v>
          </cell>
          <cell r="E862" t="str">
            <v>YARALIVA CALCINIT X 25KG</v>
          </cell>
          <cell r="F862" t="str">
            <v>YARA PERÚ SRL</v>
          </cell>
          <cell r="P862">
            <v>300</v>
          </cell>
          <cell r="R862" t="str">
            <v>CFR</v>
          </cell>
          <cell r="S862">
            <v>235.21</v>
          </cell>
          <cell r="Y862">
            <v>43865</v>
          </cell>
          <cell r="AF862" t="str">
            <v>PAITA</v>
          </cell>
        </row>
        <row r="863">
          <cell r="C863" t="str">
            <v>MF-028A/20</v>
          </cell>
          <cell r="E863" t="str">
            <v>EVOLHUMIC- DRIP X 10LT</v>
          </cell>
          <cell r="F863" t="str">
            <v>ACTAGRO</v>
          </cell>
          <cell r="P863">
            <v>2.88</v>
          </cell>
          <cell r="R863" t="str">
            <v>CFR</v>
          </cell>
          <cell r="S863">
            <v>2200</v>
          </cell>
          <cell r="Y863">
            <v>43959</v>
          </cell>
          <cell r="AF863" t="str">
            <v>CALLAO</v>
          </cell>
        </row>
        <row r="864">
          <cell r="C864" t="str">
            <v>MF-028B/20</v>
          </cell>
          <cell r="E864" t="str">
            <v>EVOLHUMIC- DRIP X 210LT</v>
          </cell>
          <cell r="F864" t="str">
            <v>ACTAGRO</v>
          </cell>
          <cell r="P864">
            <v>5</v>
          </cell>
          <cell r="R864" t="str">
            <v>CFR</v>
          </cell>
          <cell r="S864">
            <v>2200</v>
          </cell>
          <cell r="Y864">
            <v>43959</v>
          </cell>
          <cell r="AF864" t="str">
            <v>CALLAO</v>
          </cell>
        </row>
        <row r="865">
          <cell r="C865" t="str">
            <v>MF-028C/20</v>
          </cell>
          <cell r="E865" t="str">
            <v>KICKUP X 10LT</v>
          </cell>
          <cell r="F865" t="str">
            <v>ACTAGRO</v>
          </cell>
          <cell r="P865">
            <v>5.76</v>
          </cell>
          <cell r="R865" t="str">
            <v>CFR</v>
          </cell>
          <cell r="S865">
            <v>3020</v>
          </cell>
          <cell r="Y865">
            <v>43959</v>
          </cell>
          <cell r="AF865" t="str">
            <v>CALLAO</v>
          </cell>
        </row>
        <row r="866">
          <cell r="C866" t="str">
            <v>MF-029A/20</v>
          </cell>
          <cell r="E866" t="str">
            <v>SULFATO DE AMONIO ESTÁNDAR</v>
          </cell>
          <cell r="F866" t="str">
            <v>AMEROPA</v>
          </cell>
          <cell r="P866">
            <v>2600</v>
          </cell>
          <cell r="R866" t="str">
            <v>CFR</v>
          </cell>
          <cell r="S866">
            <v>121.05797</v>
          </cell>
          <cell r="Y866">
            <v>43942</v>
          </cell>
          <cell r="AF866" t="str">
            <v>PAITA</v>
          </cell>
        </row>
        <row r="867">
          <cell r="C867" t="str">
            <v>MF-029B/20</v>
          </cell>
          <cell r="E867" t="str">
            <v>SULFATO DE AMONIO ESTÁNDAR</v>
          </cell>
          <cell r="F867" t="str">
            <v>AMEROPA</v>
          </cell>
          <cell r="P867">
            <v>3500</v>
          </cell>
          <cell r="R867" t="str">
            <v>CFR</v>
          </cell>
          <cell r="S867">
            <v>121.05797</v>
          </cell>
          <cell r="Y867">
            <v>43944</v>
          </cell>
          <cell r="AF867" t="str">
            <v>SALAVERRY</v>
          </cell>
        </row>
        <row r="868">
          <cell r="C868" t="str">
            <v>MF-029C/20</v>
          </cell>
          <cell r="E868" t="str">
            <v>SULFATO DE AMONIO ESTÁNDAR</v>
          </cell>
          <cell r="F868" t="str">
            <v>AMEROPA</v>
          </cell>
          <cell r="P868">
            <v>800</v>
          </cell>
          <cell r="R868" t="str">
            <v>CFR</v>
          </cell>
          <cell r="S868">
            <v>121.05797</v>
          </cell>
          <cell r="Y868">
            <v>43948</v>
          </cell>
          <cell r="AF868" t="str">
            <v>CALLAO</v>
          </cell>
        </row>
        <row r="869">
          <cell r="C869" t="str">
            <v>MF-030A/20</v>
          </cell>
          <cell r="E869" t="str">
            <v>FOSFATO DIAMÓNICO GRANULAR</v>
          </cell>
          <cell r="F869" t="str">
            <v>AMEROPA</v>
          </cell>
          <cell r="P869">
            <v>300</v>
          </cell>
          <cell r="R869" t="str">
            <v>CFR</v>
          </cell>
          <cell r="S869">
            <v>323</v>
          </cell>
          <cell r="Y869">
            <v>43942</v>
          </cell>
          <cell r="AF869" t="str">
            <v>PAITA</v>
          </cell>
        </row>
        <row r="870">
          <cell r="C870" t="str">
            <v>MF-030B1/20</v>
          </cell>
          <cell r="E870" t="str">
            <v>FOSFATO DIAMÓNICO GRANULAR</v>
          </cell>
          <cell r="F870" t="str">
            <v>AMEROPA</v>
          </cell>
          <cell r="P870">
            <v>1300</v>
          </cell>
          <cell r="R870" t="str">
            <v>CFR</v>
          </cell>
          <cell r="S870">
            <v>323</v>
          </cell>
          <cell r="Y870">
            <v>43944</v>
          </cell>
          <cell r="AF870" t="str">
            <v>SALAVERRY</v>
          </cell>
        </row>
        <row r="871">
          <cell r="C871" t="str">
            <v>MF-030B2/20</v>
          </cell>
          <cell r="E871" t="str">
            <v>FOSFATO DIAMÓNICO GRANULAR</v>
          </cell>
          <cell r="F871" t="str">
            <v>AMEROPA</v>
          </cell>
          <cell r="P871">
            <v>500</v>
          </cell>
          <cell r="R871" t="str">
            <v>CFR</v>
          </cell>
          <cell r="S871">
            <v>345.66</v>
          </cell>
          <cell r="Y871">
            <v>43944</v>
          </cell>
          <cell r="AF871" t="str">
            <v>SALAVERRY</v>
          </cell>
        </row>
        <row r="872">
          <cell r="C872" t="str">
            <v>MF-030C1/20</v>
          </cell>
          <cell r="E872" t="str">
            <v>FOSFATO DIAMÓNICO GRANULAR</v>
          </cell>
          <cell r="F872" t="str">
            <v>AMEROPA</v>
          </cell>
          <cell r="P872">
            <v>2600</v>
          </cell>
          <cell r="R872" t="str">
            <v>CFR</v>
          </cell>
          <cell r="S872">
            <v>323</v>
          </cell>
          <cell r="Y872">
            <v>43948</v>
          </cell>
          <cell r="AF872" t="str">
            <v>CALLAO</v>
          </cell>
        </row>
        <row r="873">
          <cell r="C873" t="str">
            <v>MF-030C2/20</v>
          </cell>
          <cell r="E873" t="str">
            <v>FOSFATO DIAMÓNICO GRANULAR</v>
          </cell>
          <cell r="F873" t="str">
            <v>AMEROPA</v>
          </cell>
          <cell r="P873">
            <v>1000</v>
          </cell>
          <cell r="R873" t="str">
            <v>CFR</v>
          </cell>
          <cell r="S873">
            <v>345.66</v>
          </cell>
          <cell r="Y873">
            <v>43948</v>
          </cell>
          <cell r="AF873" t="str">
            <v>CALLAO</v>
          </cell>
        </row>
        <row r="874">
          <cell r="C874" t="str">
            <v>MF-030D/20</v>
          </cell>
          <cell r="E874" t="str">
            <v>FOSFATO DIAMÓNICO GRANULAR</v>
          </cell>
          <cell r="F874" t="str">
            <v>AMEROPA</v>
          </cell>
          <cell r="P874">
            <v>2800</v>
          </cell>
          <cell r="R874" t="str">
            <v>CFR</v>
          </cell>
          <cell r="S874">
            <v>323</v>
          </cell>
          <cell r="Y874">
            <v>43953</v>
          </cell>
          <cell r="AF874" t="str">
            <v>MATARANI</v>
          </cell>
        </row>
        <row r="875">
          <cell r="C875" t="str">
            <v>MF-031/20</v>
          </cell>
          <cell r="E875" t="str">
            <v>MICROELEMENTO SFERA 4 - 50KG</v>
          </cell>
          <cell r="F875" t="str">
            <v>MANTTRA AMERICAS</v>
          </cell>
          <cell r="P875">
            <v>52</v>
          </cell>
          <cell r="R875" t="str">
            <v>CFR</v>
          </cell>
          <cell r="S875">
            <v>280</v>
          </cell>
          <cell r="Y875">
            <v>43925</v>
          </cell>
          <cell r="AF875" t="str">
            <v>CALLAO</v>
          </cell>
        </row>
        <row r="876">
          <cell r="C876" t="str">
            <v>MF-032/20</v>
          </cell>
          <cell r="E876" t="str">
            <v>YARALIVA CALCINIT X 25KG</v>
          </cell>
          <cell r="F876" t="str">
            <v>YARA PERÚ SRL</v>
          </cell>
          <cell r="P876">
            <v>525</v>
          </cell>
          <cell r="R876" t="str">
            <v>CFR</v>
          </cell>
          <cell r="S876">
            <v>246.35</v>
          </cell>
          <cell r="Y876">
            <v>43902</v>
          </cell>
          <cell r="AF876" t="str">
            <v>CALLAO</v>
          </cell>
        </row>
        <row r="877">
          <cell r="C877" t="str">
            <v>MF-033/20</v>
          </cell>
          <cell r="E877" t="str">
            <v>YARALIVA CALCINIT X 25KG</v>
          </cell>
          <cell r="F877" t="str">
            <v>YARA PERÚ SRL</v>
          </cell>
          <cell r="P877">
            <v>325</v>
          </cell>
          <cell r="R877" t="str">
            <v>CFR</v>
          </cell>
          <cell r="S877">
            <v>246.35</v>
          </cell>
          <cell r="Y877">
            <v>43911</v>
          </cell>
          <cell r="AF877" t="str">
            <v>CALLAO</v>
          </cell>
        </row>
        <row r="878">
          <cell r="C878" t="str">
            <v>MF-034/20</v>
          </cell>
          <cell r="E878" t="str">
            <v>YARALIVA CALCINIT X 25KG</v>
          </cell>
          <cell r="F878" t="str">
            <v>YARA PERÚ SRL</v>
          </cell>
          <cell r="P878">
            <v>450</v>
          </cell>
          <cell r="R878" t="str">
            <v>CFR</v>
          </cell>
          <cell r="S878">
            <v>246.35</v>
          </cell>
          <cell r="Y878">
            <v>43901</v>
          </cell>
          <cell r="AF878" t="str">
            <v>PAITA</v>
          </cell>
        </row>
        <row r="879">
          <cell r="C879" t="str">
            <v>MF-035A/20</v>
          </cell>
          <cell r="E879" t="str">
            <v>UREA PERLADA</v>
          </cell>
          <cell r="F879" t="str">
            <v>AMEROPA</v>
          </cell>
          <cell r="P879">
            <v>500</v>
          </cell>
          <cell r="R879" t="str">
            <v>CFR</v>
          </cell>
          <cell r="S879">
            <v>272</v>
          </cell>
          <cell r="Y879">
            <v>43940</v>
          </cell>
          <cell r="AF879" t="str">
            <v>PAITA</v>
          </cell>
        </row>
        <row r="880">
          <cell r="C880" t="str">
            <v>MF-035B/20</v>
          </cell>
          <cell r="E880" t="str">
            <v>UREA PERLADA</v>
          </cell>
          <cell r="F880" t="str">
            <v>AMEROPA</v>
          </cell>
          <cell r="P880">
            <v>1500</v>
          </cell>
          <cell r="R880" t="str">
            <v>CFR</v>
          </cell>
          <cell r="S880">
            <v>272</v>
          </cell>
          <cell r="Y880">
            <v>43943</v>
          </cell>
          <cell r="AF880" t="str">
            <v>SALAVERRY</v>
          </cell>
        </row>
        <row r="881">
          <cell r="C881" t="str">
            <v>MF-035C/20</v>
          </cell>
          <cell r="E881" t="str">
            <v>UREA PERLADA</v>
          </cell>
          <cell r="F881" t="str">
            <v>AMEROPA</v>
          </cell>
          <cell r="P881">
            <v>2000</v>
          </cell>
          <cell r="R881" t="str">
            <v>CFR</v>
          </cell>
          <cell r="S881">
            <v>272</v>
          </cell>
          <cell r="Y881">
            <v>43946</v>
          </cell>
          <cell r="AF881" t="str">
            <v>CALLAO</v>
          </cell>
        </row>
        <row r="882">
          <cell r="C882" t="str">
            <v>MF-036/20</v>
          </cell>
          <cell r="E882" t="str">
            <v>NITRATO DE POTASIO CRISTALIZADO ÁCIDO X25KG</v>
          </cell>
          <cell r="F882" t="str">
            <v>ACF MINERA</v>
          </cell>
          <cell r="P882">
            <v>48</v>
          </cell>
          <cell r="R882" t="str">
            <v>CIF</v>
          </cell>
          <cell r="S882">
            <v>719</v>
          </cell>
          <cell r="Y882">
            <v>43968</v>
          </cell>
          <cell r="AF882" t="str">
            <v>CALLAO</v>
          </cell>
        </row>
        <row r="883">
          <cell r="C883" t="str">
            <v>MF-037/20</v>
          </cell>
          <cell r="E883" t="str">
            <v>NITRATO DE POTASIO CRISTALIZADO ÁCIDO X25KG</v>
          </cell>
          <cell r="F883" t="str">
            <v>ACF MINERA</v>
          </cell>
          <cell r="P883">
            <v>48</v>
          </cell>
          <cell r="R883" t="str">
            <v>CIF</v>
          </cell>
          <cell r="S883">
            <v>727</v>
          </cell>
          <cell r="Y883">
            <v>43985</v>
          </cell>
          <cell r="AF883" t="str">
            <v>PAITA</v>
          </cell>
        </row>
        <row r="884">
          <cell r="C884" t="str">
            <v>MF-038/20</v>
          </cell>
          <cell r="E884" t="str">
            <v>MICROELEMENTO SFERA 4 - 50KG</v>
          </cell>
          <cell r="F884" t="str">
            <v>MANTTRA AMERICAS</v>
          </cell>
          <cell r="P884">
            <v>52</v>
          </cell>
          <cell r="R884" t="str">
            <v>CFR</v>
          </cell>
          <cell r="S884">
            <v>280</v>
          </cell>
          <cell r="Y884">
            <v>43946</v>
          </cell>
          <cell r="AF884" t="str">
            <v>CALLAO</v>
          </cell>
        </row>
        <row r="885">
          <cell r="C885" t="str">
            <v>MF-039A1/20</v>
          </cell>
          <cell r="E885" t="str">
            <v>SULFATO DE POTASIO SOLUBLE</v>
          </cell>
          <cell r="F885" t="str">
            <v>WEGROW AG</v>
          </cell>
          <cell r="P885">
            <v>600</v>
          </cell>
          <cell r="R885" t="str">
            <v>CPT</v>
          </cell>
          <cell r="S885">
            <v>467</v>
          </cell>
          <cell r="Y885">
            <v>43968</v>
          </cell>
          <cell r="AF885" t="str">
            <v>CALLAO</v>
          </cell>
        </row>
        <row r="886">
          <cell r="C886" t="str">
            <v>MF-039A2/20</v>
          </cell>
          <cell r="E886" t="str">
            <v>SULFATO DE POTASIO SOLUBLE</v>
          </cell>
          <cell r="F886" t="str">
            <v>WEGROW AG</v>
          </cell>
          <cell r="P886">
            <v>400</v>
          </cell>
          <cell r="R886" t="str">
            <v>CPT</v>
          </cell>
          <cell r="S886">
            <v>467</v>
          </cell>
          <cell r="Y886">
            <v>43981</v>
          </cell>
          <cell r="AF886" t="str">
            <v>CALLAO</v>
          </cell>
        </row>
        <row r="887">
          <cell r="C887" t="str">
            <v>MF-039A3/20</v>
          </cell>
          <cell r="E887" t="str">
            <v>SULFATO DE POTASIO SOLUBLE</v>
          </cell>
          <cell r="F887" t="str">
            <v>WEGROW AG</v>
          </cell>
          <cell r="P887">
            <v>700</v>
          </cell>
          <cell r="R887" t="str">
            <v>CPT</v>
          </cell>
          <cell r="S887">
            <v>467</v>
          </cell>
          <cell r="Y887">
            <v>44003</v>
          </cell>
          <cell r="AF887" t="str">
            <v>CALLAO</v>
          </cell>
        </row>
        <row r="888">
          <cell r="C888" t="str">
            <v>MF-039B1/20</v>
          </cell>
          <cell r="E888" t="str">
            <v>SULFATO DE POTASIO SOLUBLE</v>
          </cell>
          <cell r="F888" t="str">
            <v>WEGROW AG</v>
          </cell>
          <cell r="P888">
            <v>800</v>
          </cell>
          <cell r="R888" t="str">
            <v>CPT</v>
          </cell>
          <cell r="S888">
            <v>477</v>
          </cell>
          <cell r="Y888">
            <v>44026</v>
          </cell>
          <cell r="AF888" t="str">
            <v>PAITA</v>
          </cell>
        </row>
        <row r="889">
          <cell r="C889" t="str">
            <v>MF-040/20</v>
          </cell>
          <cell r="E889" t="str">
            <v>NYIELD ADITIVO</v>
          </cell>
          <cell r="F889" t="str">
            <v>WEGROW AG</v>
          </cell>
          <cell r="P889">
            <v>11.1815</v>
          </cell>
          <cell r="R889" t="str">
            <v>CPT</v>
          </cell>
          <cell r="S889">
            <v>9479.9445512677194</v>
          </cell>
          <cell r="Y889">
            <v>43959</v>
          </cell>
          <cell r="AF889" t="str">
            <v>CALLAO</v>
          </cell>
        </row>
        <row r="890">
          <cell r="C890" t="str">
            <v>MF-041A/20</v>
          </cell>
          <cell r="E890" t="str">
            <v>NITRATO DE AMONIO</v>
          </cell>
          <cell r="F890" t="str">
            <v>URALCHEM (MITSUI)</v>
          </cell>
          <cell r="P890">
            <v>495</v>
          </cell>
          <cell r="R890" t="str">
            <v>CFR</v>
          </cell>
          <cell r="S890">
            <v>273.39999999999998</v>
          </cell>
          <cell r="Y890">
            <v>43978</v>
          </cell>
          <cell r="AF890" t="str">
            <v>PAITA</v>
          </cell>
        </row>
        <row r="891">
          <cell r="C891" t="str">
            <v>MF-041B/20</v>
          </cell>
          <cell r="E891" t="str">
            <v>NITRATO DE AMONIO</v>
          </cell>
          <cell r="F891" t="str">
            <v>URALCHEM (MITSUI)</v>
          </cell>
          <cell r="P891">
            <v>1375</v>
          </cell>
          <cell r="R891" t="str">
            <v>CFR</v>
          </cell>
          <cell r="S891">
            <v>273.39999999999998</v>
          </cell>
          <cell r="Y891">
            <v>43985</v>
          </cell>
          <cell r="AF891" t="str">
            <v>SALAVERRY</v>
          </cell>
        </row>
        <row r="892">
          <cell r="C892" t="str">
            <v>MF-041C/20</v>
          </cell>
          <cell r="E892" t="str">
            <v>NITRATO DE AMONIO</v>
          </cell>
          <cell r="F892" t="str">
            <v>URALCHEM (MITSUI)</v>
          </cell>
          <cell r="P892">
            <v>1430</v>
          </cell>
          <cell r="R892" t="str">
            <v>CFR</v>
          </cell>
          <cell r="S892">
            <v>273.39999999999998</v>
          </cell>
          <cell r="Y892">
            <v>43994</v>
          </cell>
          <cell r="AF892" t="str">
            <v>CALLAO</v>
          </cell>
        </row>
        <row r="893">
          <cell r="C893" t="str">
            <v>MF-041D/20</v>
          </cell>
          <cell r="E893" t="str">
            <v>NITRATO DE AMONIO</v>
          </cell>
          <cell r="F893" t="str">
            <v>URALCHEM (MITSUI)</v>
          </cell>
          <cell r="P893">
            <v>880</v>
          </cell>
          <cell r="R893" t="str">
            <v>CFR</v>
          </cell>
          <cell r="S893">
            <v>273.39999999999998</v>
          </cell>
          <cell r="Y893">
            <v>44002</v>
          </cell>
          <cell r="AF893" t="str">
            <v>PISCO</v>
          </cell>
        </row>
        <row r="894">
          <cell r="C894" t="str">
            <v>MF-041E/20</v>
          </cell>
          <cell r="E894" t="str">
            <v>NITRATO DE AMONIO</v>
          </cell>
          <cell r="F894" t="str">
            <v>URALCHEM (MITSUI)</v>
          </cell>
          <cell r="P894">
            <v>1320</v>
          </cell>
          <cell r="R894" t="str">
            <v>CFR</v>
          </cell>
          <cell r="S894">
            <v>273.39999999999998</v>
          </cell>
          <cell r="Y894">
            <v>44004</v>
          </cell>
          <cell r="AF894" t="str">
            <v>MATARANI</v>
          </cell>
        </row>
        <row r="895">
          <cell r="C895" t="str">
            <v>MF-042A/20</v>
          </cell>
          <cell r="E895" t="str">
            <v>CLORURO DE POTASIO BLANCO ESTANDAR</v>
          </cell>
          <cell r="F895" t="str">
            <v>URALKALI</v>
          </cell>
          <cell r="P895">
            <v>500</v>
          </cell>
          <cell r="R895" t="str">
            <v>CFR</v>
          </cell>
          <cell r="S895">
            <v>250</v>
          </cell>
          <cell r="Y895">
            <v>43978</v>
          </cell>
          <cell r="AF895" t="str">
            <v>PAITA</v>
          </cell>
        </row>
        <row r="896">
          <cell r="C896" t="str">
            <v>MF-042B/20</v>
          </cell>
          <cell r="E896" t="str">
            <v>CLORURO DE POTASIO BLANCO ESTANDAR</v>
          </cell>
          <cell r="F896" t="str">
            <v>URALKALI</v>
          </cell>
          <cell r="P896">
            <v>2450</v>
          </cell>
          <cell r="R896" t="str">
            <v>CFR</v>
          </cell>
          <cell r="S896">
            <v>250</v>
          </cell>
          <cell r="Y896">
            <v>43985</v>
          </cell>
          <cell r="AF896" t="str">
            <v>SALAVERRY</v>
          </cell>
        </row>
        <row r="897">
          <cell r="C897" t="str">
            <v>MF-042C/20</v>
          </cell>
          <cell r="E897" t="str">
            <v>CLORURO DE POTASIO BLANCO ESTANDAR</v>
          </cell>
          <cell r="F897" t="str">
            <v>URALKALI</v>
          </cell>
          <cell r="P897">
            <v>150</v>
          </cell>
          <cell r="R897" t="str">
            <v>CFR</v>
          </cell>
          <cell r="S897">
            <v>250</v>
          </cell>
          <cell r="Y897">
            <v>44002</v>
          </cell>
          <cell r="AF897" t="str">
            <v>PISCO</v>
          </cell>
        </row>
        <row r="898">
          <cell r="C898" t="str">
            <v>MF-042D/20</v>
          </cell>
          <cell r="E898" t="str">
            <v>CLORURO DE POTASIO BLANCO ESTANDAR</v>
          </cell>
          <cell r="F898" t="str">
            <v>URALKALI</v>
          </cell>
          <cell r="P898">
            <v>200</v>
          </cell>
          <cell r="R898" t="str">
            <v>CFR</v>
          </cell>
          <cell r="S898">
            <v>250</v>
          </cell>
          <cell r="Y898">
            <v>44004</v>
          </cell>
          <cell r="AF898" t="str">
            <v>MATARANI</v>
          </cell>
        </row>
        <row r="899">
          <cell r="C899" t="str">
            <v>MF-043/20</v>
          </cell>
          <cell r="E899" t="str">
            <v>SULFATO DE POTASIO GRANULAR</v>
          </cell>
          <cell r="F899" t="str">
            <v>EVA-FERT AG</v>
          </cell>
          <cell r="P899">
            <v>400</v>
          </cell>
          <cell r="R899" t="str">
            <v>CFR</v>
          </cell>
          <cell r="S899">
            <v>460</v>
          </cell>
          <cell r="Y899">
            <v>43998</v>
          </cell>
          <cell r="AF899" t="str">
            <v>CALLAO</v>
          </cell>
        </row>
        <row r="900">
          <cell r="C900" t="str">
            <v>MF-044/20</v>
          </cell>
          <cell r="E900" t="str">
            <v>POLISULFATO GRANULADO</v>
          </cell>
          <cell r="F900" t="str">
            <v>ICL EUROPE COOPERATIEF U.A.</v>
          </cell>
          <cell r="P900">
            <v>251.71</v>
          </cell>
          <cell r="R900" t="str">
            <v>CFR</v>
          </cell>
          <cell r="S900">
            <v>215</v>
          </cell>
          <cell r="Y900">
            <v>43973</v>
          </cell>
          <cell r="AF900" t="str">
            <v>CALLAO</v>
          </cell>
        </row>
        <row r="901">
          <cell r="C901" t="str">
            <v>MF-045/20</v>
          </cell>
          <cell r="E901" t="str">
            <v>POLISULFATO GRANULADO</v>
          </cell>
          <cell r="F901" t="str">
            <v>ICL EUROPE COOPERATIEF U.A.</v>
          </cell>
          <cell r="P901">
            <v>251.68</v>
          </cell>
          <cell r="R901" t="str">
            <v>CFR</v>
          </cell>
          <cell r="S901">
            <v>215</v>
          </cell>
          <cell r="Y901">
            <v>43987</v>
          </cell>
          <cell r="AF901" t="str">
            <v>CALLAO</v>
          </cell>
        </row>
        <row r="902">
          <cell r="C902" t="str">
            <v>MF-046/20</v>
          </cell>
          <cell r="E902" t="str">
            <v>POLISULFATO GRANULADO</v>
          </cell>
          <cell r="F902" t="str">
            <v>ICL EUROPE COOPERATIEF U.A.</v>
          </cell>
          <cell r="P902">
            <v>251.72</v>
          </cell>
          <cell r="R902" t="str">
            <v>CFR</v>
          </cell>
          <cell r="S902">
            <v>215</v>
          </cell>
          <cell r="Y902">
            <v>44015</v>
          </cell>
          <cell r="AF902" t="str">
            <v>PAITA</v>
          </cell>
        </row>
        <row r="903">
          <cell r="C903" t="str">
            <v>MF-047/20</v>
          </cell>
          <cell r="E903" t="str">
            <v>POLISULFATO GRANULADO</v>
          </cell>
          <cell r="F903" t="str">
            <v>ICL EUROPE COOPERATIEF U.A.</v>
          </cell>
          <cell r="P903">
            <v>251.76</v>
          </cell>
          <cell r="R903" t="str">
            <v>CFR</v>
          </cell>
          <cell r="S903">
            <v>215</v>
          </cell>
          <cell r="Y903">
            <v>44015</v>
          </cell>
          <cell r="AF903" t="str">
            <v>CALLAO</v>
          </cell>
        </row>
        <row r="904">
          <cell r="C904" t="str">
            <v>MF-048/20</v>
          </cell>
          <cell r="E904" t="str">
            <v>NITRATO DE MAGNESIO HEXAHIDRATADO</v>
          </cell>
          <cell r="F904" t="str">
            <v>WEGROW AG</v>
          </cell>
          <cell r="P904">
            <v>300</v>
          </cell>
          <cell r="R904" t="str">
            <v>CFR</v>
          </cell>
          <cell r="S904">
            <v>257</v>
          </cell>
          <cell r="Y904">
            <v>44016</v>
          </cell>
          <cell r="AF904" t="str">
            <v>PAITA</v>
          </cell>
        </row>
        <row r="905">
          <cell r="C905" t="str">
            <v>MF-049/20</v>
          </cell>
          <cell r="E905" t="str">
            <v>NITRATO DE MAGNESIO HEXAHIDRATADO</v>
          </cell>
          <cell r="F905" t="str">
            <v>WEGROW AG</v>
          </cell>
          <cell r="P905">
            <v>110</v>
          </cell>
          <cell r="R905" t="str">
            <v>CFR</v>
          </cell>
          <cell r="S905">
            <v>253</v>
          </cell>
          <cell r="Y905">
            <v>44026</v>
          </cell>
          <cell r="AF905" t="str">
            <v>CALLAO</v>
          </cell>
        </row>
        <row r="906">
          <cell r="C906" t="str">
            <v>MF-050/20</v>
          </cell>
          <cell r="E906" t="str">
            <v>NITRATO DE MAGNESIO HEXAHIDRATADO</v>
          </cell>
          <cell r="F906" t="str">
            <v>WEGROW AG</v>
          </cell>
          <cell r="P906">
            <v>220</v>
          </cell>
          <cell r="R906" t="str">
            <v>CFR</v>
          </cell>
          <cell r="S906">
            <v>261</v>
          </cell>
          <cell r="Y906">
            <v>44032</v>
          </cell>
          <cell r="AF906" t="str">
            <v>PISCO</v>
          </cell>
        </row>
        <row r="907">
          <cell r="C907" t="str">
            <v>MF-051/20</v>
          </cell>
          <cell r="E907" t="str">
            <v>NITRATO DE MAGNESIO HEXAHIDRATADO</v>
          </cell>
          <cell r="F907" t="str">
            <v>WEGROW AG</v>
          </cell>
          <cell r="P907">
            <v>110</v>
          </cell>
          <cell r="R907" t="str">
            <v>CFR</v>
          </cell>
          <cell r="S907">
            <v>261</v>
          </cell>
          <cell r="Y907">
            <v>44040</v>
          </cell>
          <cell r="AF907" t="str">
            <v>MATARANI</v>
          </cell>
        </row>
        <row r="908">
          <cell r="C908" t="str">
            <v>MF-052A/20</v>
          </cell>
          <cell r="E908" t="str">
            <v>FOSFATO MONOAMÓNICO CRISTALIZADO</v>
          </cell>
          <cell r="F908" t="str">
            <v>WEGROW AG</v>
          </cell>
          <cell r="P908">
            <v>200</v>
          </cell>
          <cell r="R908" t="str">
            <v>CFR</v>
          </cell>
          <cell r="S908">
            <v>616</v>
          </cell>
          <cell r="Y908">
            <v>44026</v>
          </cell>
          <cell r="AF908" t="str">
            <v>CALLAO</v>
          </cell>
        </row>
        <row r="909">
          <cell r="C909" t="str">
            <v>MF-052B/20</v>
          </cell>
          <cell r="E909" t="str">
            <v>FOSFATO MONOAMÓNICO CRISTALIZADO</v>
          </cell>
          <cell r="F909" t="str">
            <v>WEGROW AG</v>
          </cell>
          <cell r="P909">
            <v>400</v>
          </cell>
          <cell r="R909" t="str">
            <v>CFR</v>
          </cell>
          <cell r="S909">
            <v>639</v>
          </cell>
          <cell r="Y909">
            <v>44016</v>
          </cell>
          <cell r="AF909" t="str">
            <v>PAITA</v>
          </cell>
        </row>
        <row r="910">
          <cell r="C910" t="str">
            <v>MF-053A/20</v>
          </cell>
          <cell r="E910" t="str">
            <v>SULFATO DE ZINC HEPTAHIDRATADO</v>
          </cell>
          <cell r="F910" t="str">
            <v>WEGROW AG</v>
          </cell>
          <cell r="P910">
            <v>216</v>
          </cell>
          <cell r="R910" t="str">
            <v>CPT</v>
          </cell>
          <cell r="S910">
            <v>500</v>
          </cell>
          <cell r="Y910">
            <v>44018</v>
          </cell>
          <cell r="AF910" t="str">
            <v>CALLAO</v>
          </cell>
        </row>
        <row r="911">
          <cell r="C911" t="str">
            <v>MF-053B1/20</v>
          </cell>
          <cell r="E911" t="str">
            <v>SULFATO DE ZINC HEPTAHIDRATADO</v>
          </cell>
          <cell r="F911" t="str">
            <v>WEGROW AG</v>
          </cell>
          <cell r="P911">
            <v>324</v>
          </cell>
          <cell r="R911" t="str">
            <v>CPT</v>
          </cell>
          <cell r="S911">
            <v>510</v>
          </cell>
          <cell r="Y911">
            <v>44036</v>
          </cell>
          <cell r="AF911" t="str">
            <v>PAITA</v>
          </cell>
        </row>
        <row r="912">
          <cell r="C912" t="str">
            <v>MF-053B2/20</v>
          </cell>
          <cell r="E912" t="str">
            <v>SULFATO DE ZINC HEPTAHIDRATADO</v>
          </cell>
          <cell r="F912" t="str">
            <v>WEGROW AG</v>
          </cell>
          <cell r="P912">
            <v>108</v>
          </cell>
          <cell r="R912" t="str">
            <v>CPT</v>
          </cell>
          <cell r="S912">
            <v>510</v>
          </cell>
          <cell r="Y912">
            <v>44036</v>
          </cell>
          <cell r="AF912" t="str">
            <v>PAITA</v>
          </cell>
        </row>
        <row r="913">
          <cell r="C913" t="str">
            <v>MF-054A/20</v>
          </cell>
          <cell r="E913" t="str">
            <v>VEGEX CRISOIL X 20L</v>
          </cell>
          <cell r="F913" t="str">
            <v>IDAI NATURE</v>
          </cell>
          <cell r="P913">
            <v>1.7856000000000001</v>
          </cell>
          <cell r="R913" t="str">
            <v>CIF</v>
          </cell>
          <cell r="S913">
            <v>41097.826928154565</v>
          </cell>
          <cell r="Y913">
            <v>43959</v>
          </cell>
          <cell r="AF913" t="str">
            <v>CALLAO</v>
          </cell>
        </row>
        <row r="914">
          <cell r="C914" t="str">
            <v>MF-054B/20</v>
          </cell>
          <cell r="E914" t="str">
            <v>BIPOCLEAN X 25KG</v>
          </cell>
          <cell r="F914" t="str">
            <v>IDAI NATURE</v>
          </cell>
          <cell r="P914">
            <v>1.2</v>
          </cell>
          <cell r="R914" t="str">
            <v>CIF</v>
          </cell>
          <cell r="S914">
            <v>4670.9790431837419</v>
          </cell>
          <cell r="Y914">
            <v>43959</v>
          </cell>
          <cell r="AF914" t="str">
            <v>CALLAO</v>
          </cell>
        </row>
        <row r="915">
          <cell r="C915" t="str">
            <v>MF-054C/20</v>
          </cell>
          <cell r="E915" t="str">
            <v>BIPOCLEAN X 5KG</v>
          </cell>
          <cell r="F915" t="str">
            <v>IDAI NATURE</v>
          </cell>
          <cell r="P915">
            <v>2.2000000000000002</v>
          </cell>
          <cell r="R915" t="str">
            <v>CIF</v>
          </cell>
          <cell r="S915">
            <v>6170.9790431837419</v>
          </cell>
          <cell r="Y915">
            <v>43959</v>
          </cell>
          <cell r="AF915" t="str">
            <v>CALLAO</v>
          </cell>
        </row>
        <row r="916">
          <cell r="C916" t="str">
            <v>MF-054D/20</v>
          </cell>
          <cell r="E916" t="str">
            <v>VEGEX KUNEKA PLUS X 20L</v>
          </cell>
          <cell r="F916" t="str">
            <v>IDAI NATURE</v>
          </cell>
          <cell r="P916">
            <v>0.89280000000000004</v>
          </cell>
          <cell r="R916" t="str">
            <v>CIF</v>
          </cell>
          <cell r="S916">
            <v>20398.902196971761</v>
          </cell>
          <cell r="Y916">
            <v>43959</v>
          </cell>
          <cell r="AF916" t="str">
            <v>CALLAO</v>
          </cell>
        </row>
        <row r="917">
          <cell r="C917" t="str">
            <v>MF-054E/20</v>
          </cell>
          <cell r="E917" t="str">
            <v>IDAI BROTAVERD X 1 LT</v>
          </cell>
          <cell r="F917" t="str">
            <v>IDAI NATURE</v>
          </cell>
          <cell r="P917">
            <v>0.94247999999999998</v>
          </cell>
          <cell r="R917" t="str">
            <v>CIF</v>
          </cell>
          <cell r="S917">
            <v>8631.0748262048255</v>
          </cell>
          <cell r="Y917">
            <v>43959</v>
          </cell>
          <cell r="AF917" t="str">
            <v>CALLAO</v>
          </cell>
        </row>
        <row r="918">
          <cell r="C918" t="str">
            <v>MF-054F/20</v>
          </cell>
          <cell r="E918" t="str">
            <v>IDAI COBRE X 1 LT</v>
          </cell>
          <cell r="F918" t="str">
            <v>IDAI NATURE</v>
          </cell>
          <cell r="P918">
            <v>1.00712</v>
          </cell>
          <cell r="R918" t="str">
            <v>CIF</v>
          </cell>
          <cell r="S918">
            <v>7605.2659089299423</v>
          </cell>
          <cell r="Y918">
            <v>43959</v>
          </cell>
          <cell r="AF918" t="str">
            <v>CALLAO</v>
          </cell>
        </row>
        <row r="919">
          <cell r="C919" t="str">
            <v>MF-054G/20</v>
          </cell>
          <cell r="E919" t="str">
            <v>VEGEX PROTOIL X 1L</v>
          </cell>
          <cell r="F919" t="str">
            <v>IDAI NATURE</v>
          </cell>
          <cell r="P919">
            <v>0.72072000000000003</v>
          </cell>
          <cell r="R919" t="str">
            <v>CIF</v>
          </cell>
          <cell r="S919">
            <v>7440.6363111909204</v>
          </cell>
          <cell r="Y919">
            <v>43959</v>
          </cell>
          <cell r="AF919" t="str">
            <v>CALLAO</v>
          </cell>
        </row>
        <row r="920">
          <cell r="C920" t="str">
            <v>MF-054H/20</v>
          </cell>
          <cell r="E920" t="str">
            <v>NATURDAI S-SYSTEM X 1 LT</v>
          </cell>
          <cell r="F920" t="str">
            <v>IDAI NATURE</v>
          </cell>
          <cell r="P920">
            <v>0.99</v>
          </cell>
          <cell r="R920" t="str">
            <v>CIF</v>
          </cell>
          <cell r="S920">
            <v>9776.7832345469924</v>
          </cell>
          <cell r="Y920">
            <v>43959</v>
          </cell>
          <cell r="AF920" t="str">
            <v>CALLAO</v>
          </cell>
        </row>
        <row r="921">
          <cell r="C921" t="str">
            <v>MF-055.1/20</v>
          </cell>
          <cell r="E921" t="str">
            <v>ÁCIDO FOSFÓRICO</v>
          </cell>
          <cell r="F921" t="str">
            <v>NITRON GROUP LLC</v>
          </cell>
          <cell r="P921">
            <v>384</v>
          </cell>
          <cell r="R921" t="str">
            <v>CFR</v>
          </cell>
          <cell r="S921">
            <v>910</v>
          </cell>
          <cell r="Y921">
            <v>43959</v>
          </cell>
          <cell r="AF921" t="str">
            <v>PAITA</v>
          </cell>
        </row>
        <row r="922">
          <cell r="C922" t="str">
            <v>MF-055.2/20</v>
          </cell>
          <cell r="E922" t="str">
            <v>ÁCIDO FOSFÓRICO</v>
          </cell>
          <cell r="F922" t="str">
            <v>NITRON GROUP LLC</v>
          </cell>
          <cell r="P922">
            <v>384</v>
          </cell>
          <cell r="R922" t="str">
            <v>CFR</v>
          </cell>
          <cell r="S922">
            <v>910</v>
          </cell>
          <cell r="Y922">
            <v>43987</v>
          </cell>
          <cell r="AF922" t="str">
            <v>PAITA</v>
          </cell>
        </row>
        <row r="923">
          <cell r="C923" t="str">
            <v>MF-056/20</v>
          </cell>
          <cell r="E923" t="str">
            <v>BROWN AGRONYL CR X 20KG</v>
          </cell>
          <cell r="F923" t="str">
            <v>LUENGO COLOR, SLU</v>
          </cell>
          <cell r="P923">
            <v>2</v>
          </cell>
          <cell r="R923" t="str">
            <v>CIF</v>
          </cell>
          <cell r="S923">
            <v>3566.5</v>
          </cell>
          <cell r="Y923">
            <v>44001</v>
          </cell>
          <cell r="AF923" t="str">
            <v>CALLAO</v>
          </cell>
        </row>
        <row r="924">
          <cell r="C924" t="str">
            <v>MF-057.1/20</v>
          </cell>
          <cell r="E924" t="str">
            <v>YARATERA CALCINIT X 25KG</v>
          </cell>
          <cell r="F924" t="str">
            <v>YARA PERÚ SRL</v>
          </cell>
          <cell r="P924">
            <v>125</v>
          </cell>
          <cell r="R924" t="str">
            <v>CFR</v>
          </cell>
          <cell r="S924">
            <v>247.67</v>
          </cell>
          <cell r="Y924">
            <v>43958</v>
          </cell>
          <cell r="AF924" t="str">
            <v>CALLAO</v>
          </cell>
        </row>
        <row r="925">
          <cell r="C925" t="str">
            <v>MF-057.2/20</v>
          </cell>
          <cell r="E925" t="str">
            <v>YARATERA CALCINIT X 25KG</v>
          </cell>
          <cell r="F925" t="str">
            <v>YARA PERÚ SRL</v>
          </cell>
          <cell r="P925">
            <v>25</v>
          </cell>
          <cell r="R925" t="str">
            <v>CFR</v>
          </cell>
          <cell r="S925">
            <v>247.67</v>
          </cell>
          <cell r="Y925">
            <v>43965</v>
          </cell>
          <cell r="AF925" t="str">
            <v>CALLAO</v>
          </cell>
        </row>
        <row r="926">
          <cell r="C926" t="str">
            <v>MF-057.3/20</v>
          </cell>
          <cell r="E926" t="str">
            <v>YARATERA CALCINIT X 25KG</v>
          </cell>
          <cell r="F926" t="str">
            <v>YARA PERÚ SRL</v>
          </cell>
          <cell r="P926">
            <v>350</v>
          </cell>
          <cell r="R926" t="str">
            <v>CFR</v>
          </cell>
          <cell r="S926">
            <v>247.67</v>
          </cell>
          <cell r="Y926">
            <v>43972</v>
          </cell>
          <cell r="AF926" t="str">
            <v>CALLAO</v>
          </cell>
        </row>
        <row r="927">
          <cell r="C927" t="str">
            <v>MF-058/20</v>
          </cell>
          <cell r="E927" t="str">
            <v>YARATERA CALCINIT X 25KG</v>
          </cell>
          <cell r="F927" t="str">
            <v>YARA PERÚ SRL</v>
          </cell>
          <cell r="P927">
            <v>350</v>
          </cell>
          <cell r="R927" t="str">
            <v>CFR</v>
          </cell>
          <cell r="S927">
            <v>247.67</v>
          </cell>
          <cell r="Y927">
            <v>43952</v>
          </cell>
          <cell r="AF927" t="str">
            <v>CALLAO</v>
          </cell>
        </row>
        <row r="928">
          <cell r="C928" t="str">
            <v>MF-059/20</v>
          </cell>
          <cell r="E928" t="str">
            <v>YARATERA CALCINIT X 25KG</v>
          </cell>
          <cell r="F928" t="str">
            <v>YARA PERÚ SRL</v>
          </cell>
          <cell r="P928">
            <v>350</v>
          </cell>
          <cell r="R928" t="str">
            <v>CFR</v>
          </cell>
          <cell r="S928">
            <v>247.67</v>
          </cell>
          <cell r="Y928">
            <v>43952</v>
          </cell>
          <cell r="AF928" t="str">
            <v>CALLAO</v>
          </cell>
        </row>
        <row r="929">
          <cell r="C929" t="str">
            <v>MF-060/20</v>
          </cell>
          <cell r="E929" t="str">
            <v>YARATERA CALCINIT X 25KG</v>
          </cell>
          <cell r="F929" t="str">
            <v>YARA PERÚ SRL</v>
          </cell>
          <cell r="P929">
            <v>550</v>
          </cell>
          <cell r="R929" t="str">
            <v>CFR</v>
          </cell>
          <cell r="S929">
            <v>247.67</v>
          </cell>
          <cell r="Y929">
            <v>43943</v>
          </cell>
          <cell r="AF929" t="str">
            <v>PAITA</v>
          </cell>
        </row>
        <row r="930">
          <cell r="C930" t="str">
            <v>MF-061/20</v>
          </cell>
          <cell r="E930" t="str">
            <v>YARALIVA CALCINIT X BIGBAG</v>
          </cell>
          <cell r="F930" t="str">
            <v>YARA PERÚ SRL</v>
          </cell>
          <cell r="P930">
            <v>216</v>
          </cell>
          <cell r="R930" t="str">
            <v>CFR</v>
          </cell>
          <cell r="S930">
            <v>247.67</v>
          </cell>
          <cell r="Y930">
            <v>43950</v>
          </cell>
          <cell r="AF930" t="str">
            <v>PAITA</v>
          </cell>
        </row>
        <row r="931">
          <cell r="C931" t="str">
            <v>MF-062/20</v>
          </cell>
          <cell r="E931" t="str">
            <v>YARATERA CALCINIT X 25KG</v>
          </cell>
          <cell r="F931" t="str">
            <v>YARA PERÚ SRL</v>
          </cell>
          <cell r="P931">
            <v>250</v>
          </cell>
          <cell r="R931" t="str">
            <v>CFR</v>
          </cell>
          <cell r="S931">
            <v>247.67</v>
          </cell>
          <cell r="Y931">
            <v>43950</v>
          </cell>
          <cell r="AF931" t="str">
            <v>PAITA</v>
          </cell>
        </row>
        <row r="932">
          <cell r="C932" t="str">
            <v>MF-063/20</v>
          </cell>
          <cell r="E932" t="str">
            <v>SULFATO DE AMONIO BLANCO GRANULAR</v>
          </cell>
          <cell r="F932" t="str">
            <v>KEYTRADE</v>
          </cell>
          <cell r="P932">
            <v>495</v>
          </cell>
          <cell r="R932" t="str">
            <v>CFR</v>
          </cell>
          <cell r="S932">
            <v>187</v>
          </cell>
          <cell r="Y932">
            <v>44016</v>
          </cell>
          <cell r="AF932" t="str">
            <v>PAITA</v>
          </cell>
        </row>
        <row r="933">
          <cell r="C933" t="str">
            <v>MF-064/20</v>
          </cell>
          <cell r="E933" t="str">
            <v>SULFATO DE AMONIO BLANCO GRANULAR</v>
          </cell>
          <cell r="F933" t="str">
            <v>KEYTRADE</v>
          </cell>
          <cell r="P933">
            <v>275</v>
          </cell>
          <cell r="R933" t="str">
            <v>CFR</v>
          </cell>
          <cell r="S933">
            <v>186.25</v>
          </cell>
          <cell r="Y933">
            <v>44026</v>
          </cell>
          <cell r="AF933" t="str">
            <v>CALLAO</v>
          </cell>
        </row>
        <row r="934">
          <cell r="C934" t="str">
            <v>MF-065/20</v>
          </cell>
          <cell r="E934" t="str">
            <v>SULFATO DE AMONIO BLANCO GRANULAR</v>
          </cell>
          <cell r="F934" t="str">
            <v>KEYTRADE</v>
          </cell>
          <cell r="P934">
            <v>330</v>
          </cell>
          <cell r="R934" t="str">
            <v>CFR</v>
          </cell>
          <cell r="S934">
            <v>185.5</v>
          </cell>
          <cell r="Y934">
            <v>44040</v>
          </cell>
          <cell r="AF934" t="str">
            <v>MATARANI</v>
          </cell>
        </row>
        <row r="935">
          <cell r="C935" t="str">
            <v>MF-066/20</v>
          </cell>
          <cell r="E935" t="str">
            <v>SULFATO DE AMONIO BLANCO GRANULAR</v>
          </cell>
          <cell r="F935" t="str">
            <v>KEYTRADE</v>
          </cell>
          <cell r="P935">
            <v>0</v>
          </cell>
          <cell r="R935">
            <v>0</v>
          </cell>
          <cell r="S935">
            <v>0</v>
          </cell>
          <cell r="Y935">
            <v>0</v>
          </cell>
          <cell r="AF935">
            <v>0</v>
          </cell>
        </row>
        <row r="936">
          <cell r="C936" t="str">
            <v>MF-067/20</v>
          </cell>
          <cell r="E936" t="str">
            <v>SULFATO DE AMONIO BLANCO GRANULAR</v>
          </cell>
          <cell r="F936" t="str">
            <v>KEYTRADE</v>
          </cell>
          <cell r="P936">
            <v>0</v>
          </cell>
          <cell r="R936">
            <v>0</v>
          </cell>
          <cell r="S936">
            <v>0</v>
          </cell>
          <cell r="Y936">
            <v>0</v>
          </cell>
          <cell r="AF936">
            <v>0</v>
          </cell>
        </row>
        <row r="937">
          <cell r="C937" t="str">
            <v>MF-068/20</v>
          </cell>
          <cell r="E937" t="str">
            <v>SUPERFOSFATO TRIPLE – TSP X BIGBAG</v>
          </cell>
          <cell r="F937" t="str">
            <v>KEYTRADE</v>
          </cell>
          <cell r="P937">
            <v>275</v>
          </cell>
          <cell r="R937" t="str">
            <v>CFR</v>
          </cell>
          <cell r="S937">
            <v>311</v>
          </cell>
          <cell r="Y937">
            <v>44013</v>
          </cell>
          <cell r="AF937" t="str">
            <v>PAITA</v>
          </cell>
        </row>
        <row r="938">
          <cell r="C938" t="str">
            <v>MF-069/20</v>
          </cell>
          <cell r="E938" t="str">
            <v>SUPERFOSFATO TRIPLE – TSP X BIGBAG</v>
          </cell>
          <cell r="F938" t="str">
            <v>KEYTRADE</v>
          </cell>
          <cell r="P938">
            <v>272.5</v>
          </cell>
          <cell r="R938" t="str">
            <v>CFR</v>
          </cell>
          <cell r="S938">
            <v>310</v>
          </cell>
          <cell r="Y938">
            <v>44003</v>
          </cell>
          <cell r="AF938" t="str">
            <v>CALLAO</v>
          </cell>
        </row>
        <row r="939">
          <cell r="C939" t="str">
            <v>MF-070/20</v>
          </cell>
          <cell r="E939" t="str">
            <v>SUPERFOSFATO TRIPLE – TSP X BIGBAG</v>
          </cell>
          <cell r="F939" t="str">
            <v>KEYTRADE</v>
          </cell>
          <cell r="P939">
            <v>100</v>
          </cell>
          <cell r="R939" t="str">
            <v>CFR</v>
          </cell>
          <cell r="S939">
            <v>341.5</v>
          </cell>
          <cell r="Y939">
            <v>44035</v>
          </cell>
          <cell r="AF939" t="str">
            <v>MATARANI</v>
          </cell>
        </row>
        <row r="940">
          <cell r="C940" t="str">
            <v>MF-071/20</v>
          </cell>
          <cell r="E940" t="str">
            <v>NITRATO DE POTASIO CRISTALIZADO</v>
          </cell>
          <cell r="F940" t="str">
            <v>WEGROW AG</v>
          </cell>
          <cell r="P940">
            <v>48</v>
          </cell>
          <cell r="R940" t="str">
            <v>CFR</v>
          </cell>
          <cell r="S940">
            <v>699</v>
          </cell>
          <cell r="Y940">
            <v>44006</v>
          </cell>
          <cell r="AF940" t="str">
            <v>CALLAO</v>
          </cell>
        </row>
        <row r="941">
          <cell r="C941" t="str">
            <v>MF-072/20</v>
          </cell>
          <cell r="E941" t="str">
            <v>SULFATO DE POTASIO GRANULAR</v>
          </cell>
          <cell r="F941" t="str">
            <v xml:space="preserve">K+S KALI GMBH </v>
          </cell>
          <cell r="P941">
            <v>308.01600000000002</v>
          </cell>
          <cell r="R941" t="str">
            <v>CPT</v>
          </cell>
          <cell r="S941">
            <v>455</v>
          </cell>
          <cell r="Y941">
            <v>43992</v>
          </cell>
          <cell r="AF941" t="str">
            <v>PAITA</v>
          </cell>
        </row>
        <row r="942">
          <cell r="C942" t="str">
            <v>MF-073/20</v>
          </cell>
          <cell r="E942" t="str">
            <v>NITRATO DE POTASIO CRISTALIZADO</v>
          </cell>
          <cell r="F942" t="str">
            <v>WEGROW AG</v>
          </cell>
          <cell r="P942">
            <v>495</v>
          </cell>
          <cell r="R942" t="str">
            <v>CPT</v>
          </cell>
          <cell r="S942">
            <v>703</v>
          </cell>
          <cell r="Y942">
            <v>44006</v>
          </cell>
          <cell r="AF942" t="str">
            <v>PAITA</v>
          </cell>
        </row>
        <row r="943">
          <cell r="C943" t="str">
            <v>MF-074/20</v>
          </cell>
          <cell r="E943" t="str">
            <v>NITRATO DE POTASIO CRISTALIZADO</v>
          </cell>
          <cell r="F943" t="str">
            <v>WEGROW AG</v>
          </cell>
          <cell r="P943">
            <v>165</v>
          </cell>
          <cell r="R943" t="str">
            <v>CPT</v>
          </cell>
          <cell r="S943">
            <v>712</v>
          </cell>
          <cell r="Y943">
            <v>44025</v>
          </cell>
          <cell r="AF943" t="str">
            <v>MATARANI</v>
          </cell>
        </row>
        <row r="944">
          <cell r="C944" t="str">
            <v>MF-075/20</v>
          </cell>
          <cell r="E944" t="str">
            <v>SULFATO DE POTASIO GRANULAR</v>
          </cell>
          <cell r="F944" t="str">
            <v>WEGROW AG</v>
          </cell>
          <cell r="P944">
            <v>330</v>
          </cell>
          <cell r="R944" t="str">
            <v>CFR</v>
          </cell>
          <cell r="S944">
            <v>457</v>
          </cell>
          <cell r="Y944">
            <v>44026</v>
          </cell>
          <cell r="AF944" t="str">
            <v>CALLAO</v>
          </cell>
        </row>
        <row r="945">
          <cell r="C945" t="str">
            <v>MF-076/20</v>
          </cell>
          <cell r="E945" t="str">
            <v>SULFATO DE POTASIO GRANULAR</v>
          </cell>
          <cell r="F945" t="str">
            <v>WEGROW AG</v>
          </cell>
          <cell r="P945">
            <v>80</v>
          </cell>
          <cell r="R945" t="str">
            <v>CPT</v>
          </cell>
          <cell r="S945">
            <v>464</v>
          </cell>
          <cell r="Y945">
            <v>44040</v>
          </cell>
          <cell r="AF945" t="str">
            <v>MATARANI</v>
          </cell>
        </row>
        <row r="946">
          <cell r="C946" t="str">
            <v>MF-077/20</v>
          </cell>
          <cell r="E946" t="str">
            <v>NITRATO DE MAGNESIO HEXAHIDRATADO</v>
          </cell>
          <cell r="F946" t="str">
            <v>EVA-FERT AG</v>
          </cell>
          <cell r="P946">
            <v>400</v>
          </cell>
          <cell r="R946" t="str">
            <v>CFR</v>
          </cell>
          <cell r="S946">
            <v>237.5</v>
          </cell>
          <cell r="Y946">
            <v>44026</v>
          </cell>
          <cell r="AF946" t="str">
            <v>CALLAO</v>
          </cell>
        </row>
        <row r="947">
          <cell r="C947" t="str">
            <v>MF-078/20</v>
          </cell>
          <cell r="E947" t="str">
            <v>SULFATO DE POTASIO SOLUBLE</v>
          </cell>
          <cell r="F947" t="str">
            <v>JM FERTILIZER</v>
          </cell>
          <cell r="P947">
            <v>405</v>
          </cell>
          <cell r="R947" t="str">
            <v>CFR</v>
          </cell>
          <cell r="S947">
            <v>442.3</v>
          </cell>
          <cell r="Y947">
            <v>44035</v>
          </cell>
          <cell r="AF947" t="str">
            <v>MATARANI</v>
          </cell>
        </row>
        <row r="948">
          <cell r="C948" t="str">
            <v>MF-079/20</v>
          </cell>
          <cell r="E948" t="str">
            <v>FOSFATO MONOAMÓNICO CRISTALIZADO</v>
          </cell>
          <cell r="F948" t="str">
            <v>CHENGDU ROCCA CO.,LTD</v>
          </cell>
          <cell r="P948">
            <v>647.5</v>
          </cell>
          <cell r="R948" t="str">
            <v>CFR</v>
          </cell>
          <cell r="S948">
            <v>620</v>
          </cell>
          <cell r="Y948">
            <v>44029</v>
          </cell>
          <cell r="AF948" t="str">
            <v>CALLAO</v>
          </cell>
        </row>
        <row r="949">
          <cell r="C949" t="str">
            <v>MF-080/20</v>
          </cell>
          <cell r="E949" t="str">
            <v>FOSFATO MONOAMÓNICO CRISTALIZADO</v>
          </cell>
          <cell r="F949" t="str">
            <v>CHENGDU ROCCA CO.,LTD</v>
          </cell>
          <cell r="P949">
            <v>155</v>
          </cell>
          <cell r="R949" t="str">
            <v>CFR</v>
          </cell>
          <cell r="S949">
            <v>630</v>
          </cell>
          <cell r="Y949">
            <v>44040</v>
          </cell>
          <cell r="AF949" t="str">
            <v>MATARANI</v>
          </cell>
        </row>
        <row r="950">
          <cell r="C950" t="str">
            <v>MF-081.1/20</v>
          </cell>
          <cell r="E950" t="str">
            <v xml:space="preserve">SULFATO DE MAGNESIO HEPTAHIDRATADO </v>
          </cell>
          <cell r="F950" t="str">
            <v>STAR GRACE MINING CO.,LTD</v>
          </cell>
          <cell r="P950">
            <v>1144</v>
          </cell>
          <cell r="R950" t="str">
            <v>CFR</v>
          </cell>
          <cell r="S950">
            <v>108</v>
          </cell>
          <cell r="Y950">
            <v>44008</v>
          </cell>
          <cell r="AF950" t="str">
            <v>PAITA</v>
          </cell>
        </row>
        <row r="951">
          <cell r="C951" t="str">
            <v>MF-081.2/20</v>
          </cell>
          <cell r="E951" t="str">
            <v xml:space="preserve">SULFATO DE MAGNESIO HEPTAHIDRATADO </v>
          </cell>
          <cell r="F951" t="str">
            <v>STAR GRACE MINING CO.,LTD</v>
          </cell>
          <cell r="P951">
            <v>858</v>
          </cell>
          <cell r="R951" t="str">
            <v>CFR</v>
          </cell>
          <cell r="S951">
            <v>108</v>
          </cell>
          <cell r="Y951">
            <v>44029</v>
          </cell>
          <cell r="AF951" t="str">
            <v>PAITA</v>
          </cell>
        </row>
        <row r="952">
          <cell r="C952" t="str">
            <v>MF-082/20</v>
          </cell>
          <cell r="E952" t="str">
            <v xml:space="preserve">SULFATO DE MAGNESIO HEPTAHIDRATADO </v>
          </cell>
          <cell r="F952" t="str">
            <v>STAR GRACE MINING CO.,LTD</v>
          </cell>
          <cell r="P952">
            <v>2400</v>
          </cell>
          <cell r="R952" t="str">
            <v>CFR</v>
          </cell>
          <cell r="S952">
            <v>102</v>
          </cell>
          <cell r="Y952">
            <v>44071</v>
          </cell>
          <cell r="AF952" t="str">
            <v>CALLAO</v>
          </cell>
        </row>
        <row r="953">
          <cell r="C953" t="str">
            <v>MF-083/20</v>
          </cell>
          <cell r="E953" t="str">
            <v xml:space="preserve">SULFATO DE MAGNESIO HEPTAHIDRATADO </v>
          </cell>
          <cell r="F953" t="str">
            <v>STAR GRACE MINING CO.,LTD</v>
          </cell>
          <cell r="P953">
            <v>600</v>
          </cell>
          <cell r="R953" t="str">
            <v>CFR</v>
          </cell>
          <cell r="S953">
            <v>113</v>
          </cell>
          <cell r="Y953">
            <v>44040</v>
          </cell>
          <cell r="AF953" t="str">
            <v>MATARANI</v>
          </cell>
        </row>
        <row r="954">
          <cell r="C954" t="str">
            <v>MF-084/20</v>
          </cell>
          <cell r="E954" t="str">
            <v>NITRATO DE MAGNESIO HEXAHIDRATADO</v>
          </cell>
          <cell r="F954" t="str">
            <v>MITSUI &amp; CO., Ltda</v>
          </cell>
          <cell r="P954">
            <v>0</v>
          </cell>
          <cell r="R954">
            <v>0</v>
          </cell>
          <cell r="S954">
            <v>0</v>
          </cell>
          <cell r="Y954">
            <v>0</v>
          </cell>
          <cell r="AF954">
            <v>0</v>
          </cell>
        </row>
        <row r="955">
          <cell r="C955" t="str">
            <v>MF-085/20</v>
          </cell>
          <cell r="E955" t="str">
            <v>ÁCIDO FOSFÓRICO</v>
          </cell>
          <cell r="F955" t="str">
            <v>MITSUI &amp; CO., Ltda</v>
          </cell>
          <cell r="P955">
            <v>691.6</v>
          </cell>
          <cell r="R955" t="str">
            <v>CFR</v>
          </cell>
          <cell r="S955">
            <v>860</v>
          </cell>
          <cell r="Y955">
            <v>43996</v>
          </cell>
          <cell r="AF955" t="str">
            <v>CALLAO</v>
          </cell>
        </row>
        <row r="956">
          <cell r="C956" t="str">
            <v>MF-086/20</v>
          </cell>
          <cell r="E956" t="str">
            <v>ÁCIDO FOSFÓRICO</v>
          </cell>
          <cell r="F956" t="str">
            <v>MITSUI &amp; CO., Ltda</v>
          </cell>
          <cell r="P956">
            <v>319.2</v>
          </cell>
          <cell r="R956" t="str">
            <v>CFR</v>
          </cell>
          <cell r="S956">
            <v>865</v>
          </cell>
          <cell r="Y956">
            <v>44034</v>
          </cell>
          <cell r="AF956" t="str">
            <v>PAITA</v>
          </cell>
        </row>
        <row r="957">
          <cell r="C957" t="str">
            <v>MF-087/20</v>
          </cell>
          <cell r="E957" t="str">
            <v>ÁCIDO FOSFÓRICO</v>
          </cell>
          <cell r="F957" t="str">
            <v>MITSUI &amp; CO., Ltda</v>
          </cell>
          <cell r="P957">
            <v>159.6</v>
          </cell>
          <cell r="R957" t="str">
            <v>CFR</v>
          </cell>
          <cell r="S957">
            <v>890</v>
          </cell>
          <cell r="Y957">
            <v>44056</v>
          </cell>
          <cell r="AF957" t="str">
            <v>MATARANI</v>
          </cell>
        </row>
        <row r="958">
          <cell r="C958" t="str">
            <v>MF-088/20</v>
          </cell>
          <cell r="E958" t="str">
            <v>SULFATO DE ZINC HEPTAHIDRATADO</v>
          </cell>
          <cell r="F958" t="str">
            <v>STAR GRACE MINING CO.,LTD</v>
          </cell>
          <cell r="P958">
            <v>200.4</v>
          </cell>
          <cell r="R958" t="str">
            <v>CFR</v>
          </cell>
          <cell r="S958">
            <v>458</v>
          </cell>
          <cell r="Y958">
            <v>44016</v>
          </cell>
          <cell r="AF958" t="str">
            <v>PAITA</v>
          </cell>
        </row>
        <row r="959">
          <cell r="C959" t="str">
            <v>MF-089/20</v>
          </cell>
          <cell r="E959" t="str">
            <v>SULFATO DE ZINC HEPTAHIDRATADO</v>
          </cell>
          <cell r="F959" t="str">
            <v>STAR GRACE MINING CO.,LTD</v>
          </cell>
          <cell r="P959">
            <v>301.2</v>
          </cell>
          <cell r="R959" t="str">
            <v>CFR</v>
          </cell>
          <cell r="S959">
            <v>447</v>
          </cell>
          <cell r="Y959">
            <v>44071</v>
          </cell>
          <cell r="AF959" t="str">
            <v>CALLAO</v>
          </cell>
        </row>
        <row r="960">
          <cell r="C960" t="str">
            <v>MF-090/20</v>
          </cell>
          <cell r="E960" t="str">
            <v>SULFATO DE ZINC HEPTAHIDRATADO</v>
          </cell>
          <cell r="F960" t="str">
            <v>STAR GRACE MINING CO.,LTD</v>
          </cell>
          <cell r="P960">
            <v>50.4</v>
          </cell>
          <cell r="R960" t="str">
            <v>CFR</v>
          </cell>
          <cell r="S960">
            <v>460</v>
          </cell>
          <cell r="Y960">
            <v>44040</v>
          </cell>
          <cell r="AF960" t="str">
            <v>MATARANI</v>
          </cell>
        </row>
        <row r="961">
          <cell r="C961" t="str">
            <v>MF-091/20</v>
          </cell>
          <cell r="E961" t="str">
            <v>MICROELEMENTO SFERA 4 - 50KG</v>
          </cell>
          <cell r="F961" t="str">
            <v>MANTTRA AMERICAS</v>
          </cell>
          <cell r="P961">
            <v>52.51</v>
          </cell>
          <cell r="R961" t="str">
            <v>CFR</v>
          </cell>
          <cell r="S961">
            <v>280</v>
          </cell>
          <cell r="Y961">
            <v>44006</v>
          </cell>
          <cell r="AF961" t="str">
            <v>CALLAO</v>
          </cell>
        </row>
        <row r="962">
          <cell r="C962" t="str">
            <v>MF-092/20</v>
          </cell>
          <cell r="E962" t="str">
            <v>MICROELEMENTO SFERA 4 - 50KG</v>
          </cell>
          <cell r="F962" t="str">
            <v>MANTTRA AMERICAS</v>
          </cell>
          <cell r="P962">
            <v>52</v>
          </cell>
          <cell r="R962" t="str">
            <v>CFR</v>
          </cell>
          <cell r="S962">
            <v>280</v>
          </cell>
          <cell r="Y962">
            <v>44027</v>
          </cell>
          <cell r="AF962" t="str">
            <v>CALLAO</v>
          </cell>
        </row>
        <row r="963">
          <cell r="C963" t="str">
            <v>MF-093/20</v>
          </cell>
          <cell r="E963" t="str">
            <v>YARATERA CALCINIT X 25KG</v>
          </cell>
          <cell r="F963" t="str">
            <v>YARA PERÚ SRL</v>
          </cell>
          <cell r="P963">
            <v>500</v>
          </cell>
          <cell r="R963" t="str">
            <v>CFR</v>
          </cell>
          <cell r="S963">
            <v>242.44</v>
          </cell>
          <cell r="Y963">
            <v>43971</v>
          </cell>
          <cell r="AF963" t="str">
            <v>PAITA</v>
          </cell>
        </row>
        <row r="964">
          <cell r="C964" t="str">
            <v>MF-094/20</v>
          </cell>
          <cell r="E964" t="str">
            <v>YARATERA CALCINIT X 25KG</v>
          </cell>
          <cell r="F964" t="str">
            <v>YARA PERÚ SRL</v>
          </cell>
          <cell r="P964">
            <v>500</v>
          </cell>
          <cell r="R964" t="str">
            <v>CFR</v>
          </cell>
          <cell r="S964">
            <v>242.44</v>
          </cell>
          <cell r="Y964">
            <v>43971</v>
          </cell>
          <cell r="AF964" t="str">
            <v>PAITA</v>
          </cell>
        </row>
        <row r="965">
          <cell r="C965" t="str">
            <v>MF-095/20</v>
          </cell>
          <cell r="E965" t="str">
            <v>YARATERA CALCINIT X 25KG</v>
          </cell>
          <cell r="F965" t="str">
            <v>YARA PERÚ SRL</v>
          </cell>
          <cell r="P965">
            <v>500</v>
          </cell>
          <cell r="R965" t="str">
            <v>CFR</v>
          </cell>
          <cell r="S965">
            <v>242.44</v>
          </cell>
          <cell r="Y965">
            <v>43964</v>
          </cell>
          <cell r="AF965" t="str">
            <v>PAITA</v>
          </cell>
        </row>
        <row r="966">
          <cell r="C966" t="str">
            <v>MF-096/20</v>
          </cell>
          <cell r="E966" t="str">
            <v>YARALIVA CALCINIT X BIGBAG</v>
          </cell>
          <cell r="F966" t="str">
            <v>YARA PERÚ SRL</v>
          </cell>
          <cell r="P966">
            <v>216</v>
          </cell>
          <cell r="R966" t="str">
            <v>CFR</v>
          </cell>
          <cell r="S966">
            <v>242.44</v>
          </cell>
          <cell r="Y966">
            <v>43964</v>
          </cell>
          <cell r="AF966" t="str">
            <v>PAITA</v>
          </cell>
        </row>
        <row r="967">
          <cell r="C967" t="str">
            <v>MF-097/20</v>
          </cell>
          <cell r="E967" t="str">
            <v>YARATERA CALCINIT X 25KG</v>
          </cell>
          <cell r="F967" t="str">
            <v>YARA PERÚ SRL</v>
          </cell>
          <cell r="P967">
            <v>225</v>
          </cell>
          <cell r="R967" t="str">
            <v>CFR</v>
          </cell>
          <cell r="S967">
            <v>242.44</v>
          </cell>
          <cell r="Y967">
            <v>43964</v>
          </cell>
          <cell r="AF967" t="str">
            <v>PAITA</v>
          </cell>
        </row>
        <row r="968">
          <cell r="C968" t="str">
            <v>MF-098/20</v>
          </cell>
          <cell r="E968" t="str">
            <v>YARATERA CALCINIT X 25KG</v>
          </cell>
          <cell r="F968" t="str">
            <v>YARA PERÚ SRL</v>
          </cell>
          <cell r="P968">
            <v>75</v>
          </cell>
          <cell r="R968" t="str">
            <v>CFR</v>
          </cell>
          <cell r="S968">
            <v>242.44</v>
          </cell>
          <cell r="Y968">
            <v>43990</v>
          </cell>
          <cell r="AF968" t="str">
            <v>MATARANI</v>
          </cell>
        </row>
        <row r="969">
          <cell r="C969" t="str">
            <v>MF-099/20</v>
          </cell>
          <cell r="E969" t="str">
            <v>SULFATO DE ZINC HEPTAHIDRATADO</v>
          </cell>
          <cell r="F969" t="str">
            <v>MITSUI &amp; CO., Ltda</v>
          </cell>
          <cell r="P969">
            <v>165</v>
          </cell>
          <cell r="R969" t="str">
            <v>CFR</v>
          </cell>
          <cell r="S969">
            <v>443</v>
          </cell>
          <cell r="Y969">
            <v>44026</v>
          </cell>
          <cell r="AF969" t="str">
            <v>CALLAO</v>
          </cell>
        </row>
        <row r="970">
          <cell r="C970" t="str">
            <v>MF-100/20</v>
          </cell>
          <cell r="E970" t="str">
            <v>FOSFATO DIAMÓNICO GRANULAR</v>
          </cell>
          <cell r="F970" t="str">
            <v>ANAGRA</v>
          </cell>
          <cell r="P970">
            <v>2200</v>
          </cell>
          <cell r="R970" t="str">
            <v>CFR</v>
          </cell>
          <cell r="S970">
            <v>354</v>
          </cell>
          <cell r="Y970">
            <v>44005</v>
          </cell>
          <cell r="AF970" t="str">
            <v>MATARANI</v>
          </cell>
        </row>
        <row r="971">
          <cell r="C971" t="str">
            <v>MF-101A/20</v>
          </cell>
          <cell r="E971" t="str">
            <v>FOSFATO MONOPOTASICO (MKP) X 25KG</v>
          </cell>
          <cell r="F971" t="str">
            <v>EVA-FERT AG</v>
          </cell>
          <cell r="P971">
            <v>81</v>
          </cell>
          <cell r="R971" t="str">
            <v>CFR</v>
          </cell>
          <cell r="S971">
            <v>1060</v>
          </cell>
          <cell r="Y971">
            <v>44031</v>
          </cell>
          <cell r="AF971" t="str">
            <v>CALLAO</v>
          </cell>
        </row>
        <row r="972">
          <cell r="C972" t="str">
            <v>MF-101B/20</v>
          </cell>
          <cell r="E972" t="str">
            <v>FOSFATO MONOPOTASICO (MKP) X 25KG</v>
          </cell>
          <cell r="F972" t="str">
            <v>EVA-FERT AG</v>
          </cell>
          <cell r="P972">
            <v>170.4</v>
          </cell>
          <cell r="R972" t="str">
            <v>CFR</v>
          </cell>
          <cell r="S972">
            <v>1078</v>
          </cell>
          <cell r="Y972">
            <v>44020</v>
          </cell>
          <cell r="AF972" t="str">
            <v>PAITA</v>
          </cell>
        </row>
        <row r="973">
          <cell r="C973" t="str">
            <v>MF-102/20</v>
          </cell>
          <cell r="E973" t="str">
            <v>ZINCODUR 25/17 BIGBAGS X1000KG</v>
          </cell>
          <cell r="F973" t="str">
            <v>COMPASS MINERALS</v>
          </cell>
          <cell r="P973">
            <v>25</v>
          </cell>
          <cell r="R973" t="str">
            <v>CFR</v>
          </cell>
          <cell r="S973">
            <v>860</v>
          </cell>
          <cell r="Y973">
            <v>43987</v>
          </cell>
          <cell r="AF973" t="str">
            <v>CALLAO</v>
          </cell>
        </row>
        <row r="974">
          <cell r="C974" t="str">
            <v>MF-103A/20</v>
          </cell>
          <cell r="E974" t="str">
            <v>UREA PERLADA</v>
          </cell>
          <cell r="F974" t="str">
            <v>PHOSAGRO (MITSUI)</v>
          </cell>
          <cell r="P974">
            <v>1430</v>
          </cell>
          <cell r="R974" t="str">
            <v>CFR</v>
          </cell>
          <cell r="S974">
            <v>249.1</v>
          </cell>
          <cell r="Y974">
            <v>44011</v>
          </cell>
          <cell r="AF974" t="str">
            <v>PAITA</v>
          </cell>
        </row>
        <row r="975">
          <cell r="C975" t="str">
            <v>MF-103B/20</v>
          </cell>
          <cell r="E975" t="str">
            <v>UREA PERLADA</v>
          </cell>
          <cell r="F975" t="str">
            <v>PHOSAGRO (MITSUI)</v>
          </cell>
          <cell r="P975">
            <v>3510</v>
          </cell>
          <cell r="R975" t="str">
            <v>CFR</v>
          </cell>
          <cell r="S975">
            <v>249.1</v>
          </cell>
          <cell r="Y975">
            <v>44014</v>
          </cell>
          <cell r="AF975" t="str">
            <v>SALAVERRY</v>
          </cell>
        </row>
        <row r="976">
          <cell r="C976" t="str">
            <v>MF-103C/20</v>
          </cell>
          <cell r="E976" t="str">
            <v>UREA PERLADA</v>
          </cell>
          <cell r="F976" t="str">
            <v>PHOSAGRO (MITSUI)</v>
          </cell>
          <cell r="P976">
            <v>3060</v>
          </cell>
          <cell r="R976" t="str">
            <v>CFR</v>
          </cell>
          <cell r="S976">
            <v>249.1</v>
          </cell>
          <cell r="Y976">
            <v>44017</v>
          </cell>
          <cell r="AF976" t="str">
            <v>CALLAO</v>
          </cell>
        </row>
        <row r="977">
          <cell r="C977" t="str">
            <v>MF-103D/20</v>
          </cell>
          <cell r="E977" t="str">
            <v>UREA PERLADA</v>
          </cell>
          <cell r="F977" t="str">
            <v>PHOSAGRO (MITSUI)</v>
          </cell>
          <cell r="P977">
            <v>1000</v>
          </cell>
          <cell r="R977" t="str">
            <v>CFR</v>
          </cell>
          <cell r="S977">
            <v>249.1</v>
          </cell>
          <cell r="Y977">
            <v>44021</v>
          </cell>
          <cell r="AF977" t="str">
            <v>MATARANI</v>
          </cell>
        </row>
        <row r="978">
          <cell r="C978" t="str">
            <v>MF-104A/20</v>
          </cell>
          <cell r="E978" t="str">
            <v>UREA GRANULADA</v>
          </cell>
          <cell r="F978" t="str">
            <v>PHOSAGRO (MITSUI)</v>
          </cell>
          <cell r="P978">
            <v>2000</v>
          </cell>
          <cell r="R978" t="str">
            <v>CFR</v>
          </cell>
          <cell r="S978">
            <v>254.2</v>
          </cell>
          <cell r="Y978">
            <v>44011</v>
          </cell>
          <cell r="AF978" t="str">
            <v>PAITA</v>
          </cell>
        </row>
        <row r="979">
          <cell r="C979" t="str">
            <v>MF-104B/20</v>
          </cell>
          <cell r="E979" t="str">
            <v>UREA GRANULADA</v>
          </cell>
          <cell r="F979" t="str">
            <v>PHOSAGRO (MITSUI)</v>
          </cell>
          <cell r="P979">
            <v>1000</v>
          </cell>
          <cell r="R979" t="str">
            <v>CFR</v>
          </cell>
          <cell r="S979">
            <v>254.2</v>
          </cell>
          <cell r="Y979">
            <v>44014</v>
          </cell>
          <cell r="AF979" t="str">
            <v>SALAVERRY</v>
          </cell>
        </row>
        <row r="980">
          <cell r="C980" t="str">
            <v>MF-104C/20</v>
          </cell>
          <cell r="E980" t="str">
            <v>UREA GRANULADA</v>
          </cell>
          <cell r="F980" t="str">
            <v>PHOSAGRO (MITSUI)</v>
          </cell>
          <cell r="P980">
            <v>1700</v>
          </cell>
          <cell r="R980" t="str">
            <v>CFR</v>
          </cell>
          <cell r="S980">
            <v>254.2</v>
          </cell>
          <cell r="Y980">
            <v>44017</v>
          </cell>
          <cell r="AF980" t="str">
            <v>CALLAO</v>
          </cell>
        </row>
        <row r="981">
          <cell r="C981" t="str">
            <v>MF-104D/20</v>
          </cell>
          <cell r="E981" t="str">
            <v>UREA GRANULADA</v>
          </cell>
          <cell r="F981" t="str">
            <v>PHOSAGRO (MITSUI)</v>
          </cell>
          <cell r="P981">
            <v>1900</v>
          </cell>
          <cell r="R981" t="str">
            <v>CFR</v>
          </cell>
          <cell r="S981">
            <v>254.2</v>
          </cell>
          <cell r="Y981">
            <v>44021</v>
          </cell>
          <cell r="AF981" t="str">
            <v>MATARANI</v>
          </cell>
        </row>
        <row r="982">
          <cell r="C982" t="str">
            <v>MF-105A/20</v>
          </cell>
          <cell r="E982" t="str">
            <v>SULFATO DE AMONIO ESTÁNDAR</v>
          </cell>
          <cell r="F982" t="str">
            <v xml:space="preserve">TGO Agriculture (USA) Inc. </v>
          </cell>
          <cell r="P982">
            <v>2200</v>
          </cell>
          <cell r="R982" t="str">
            <v>CFR</v>
          </cell>
          <cell r="S982">
            <v>123.22</v>
          </cell>
          <cell r="Y982">
            <v>44029</v>
          </cell>
          <cell r="AF982" t="str">
            <v>PAITA</v>
          </cell>
        </row>
        <row r="983">
          <cell r="C983" t="str">
            <v>MF-105B/20</v>
          </cell>
          <cell r="E983" t="str">
            <v>SULFATO DE AMONIO ESTÁNDAR</v>
          </cell>
          <cell r="F983" t="str">
            <v xml:space="preserve">TGO Agriculture (USA) Inc. </v>
          </cell>
          <cell r="P983">
            <v>880</v>
          </cell>
          <cell r="R983" t="str">
            <v>CFR</v>
          </cell>
          <cell r="S983">
            <v>123.22</v>
          </cell>
          <cell r="Y983">
            <v>44032</v>
          </cell>
          <cell r="AF983" t="str">
            <v>SALAVERRY</v>
          </cell>
        </row>
        <row r="984">
          <cell r="C984" t="str">
            <v>MF-105C/20</v>
          </cell>
          <cell r="E984" t="str">
            <v>SULFATO DE AMONIO ESTÁNDAR</v>
          </cell>
          <cell r="F984" t="str">
            <v xml:space="preserve">TGO Agriculture (USA) Inc. </v>
          </cell>
          <cell r="P984">
            <v>220</v>
          </cell>
          <cell r="R984" t="str">
            <v>CFR</v>
          </cell>
          <cell r="S984">
            <v>123.22</v>
          </cell>
          <cell r="Y984">
            <v>44037</v>
          </cell>
          <cell r="AF984" t="str">
            <v>PISCO</v>
          </cell>
        </row>
        <row r="985">
          <cell r="C985" t="str">
            <v>MF-106/20</v>
          </cell>
          <cell r="E985" t="str">
            <v>NITRATO DE POTASIO CRISTALIZADO</v>
          </cell>
          <cell r="F985" t="str">
            <v>MITSUI &amp; CO., Ltda</v>
          </cell>
          <cell r="P985">
            <v>513</v>
          </cell>
          <cell r="R985" t="str">
            <v>CIF</v>
          </cell>
          <cell r="S985">
            <v>678</v>
          </cell>
          <cell r="Y985">
            <v>43982</v>
          </cell>
          <cell r="AF985" t="str">
            <v>CALLAO</v>
          </cell>
        </row>
        <row r="986">
          <cell r="C986" t="str">
            <v>MF-107A/20</v>
          </cell>
          <cell r="E986" t="str">
            <v>ÁCIDO FOSFÓRICO</v>
          </cell>
          <cell r="F986" t="str">
            <v>NITRON GROUP LLC</v>
          </cell>
          <cell r="P986">
            <v>552</v>
          </cell>
          <cell r="R986" t="str">
            <v>CFR</v>
          </cell>
          <cell r="S986">
            <v>865</v>
          </cell>
          <cell r="Y986">
            <v>44008</v>
          </cell>
          <cell r="AF986" t="str">
            <v>CALLAO</v>
          </cell>
        </row>
        <row r="987">
          <cell r="C987" t="str">
            <v>MF-107B/20</v>
          </cell>
          <cell r="E987" t="str">
            <v>ÁCIDO FOSFÓRICO</v>
          </cell>
          <cell r="F987" t="str">
            <v>NITRON GROUP LLC</v>
          </cell>
          <cell r="P987">
            <v>456</v>
          </cell>
          <cell r="R987" t="str">
            <v>CFR</v>
          </cell>
          <cell r="S987">
            <v>875</v>
          </cell>
          <cell r="Y987">
            <v>44008</v>
          </cell>
          <cell r="AF987" t="str">
            <v>PAITA</v>
          </cell>
        </row>
        <row r="988">
          <cell r="C988" t="str">
            <v>MF-108/20</v>
          </cell>
          <cell r="E988" t="str">
            <v>SULFATO DE POTASIO SOLUBLE</v>
          </cell>
          <cell r="F988" t="str">
            <v>WEGROW AG</v>
          </cell>
          <cell r="P988">
            <v>840</v>
          </cell>
          <cell r="R988" t="str">
            <v>CFR</v>
          </cell>
          <cell r="S988">
            <v>432</v>
          </cell>
          <cell r="Y988">
            <v>44086</v>
          </cell>
          <cell r="AF988" t="str">
            <v>CALLAO</v>
          </cell>
        </row>
        <row r="989">
          <cell r="C989" t="str">
            <v>MF-109A/20</v>
          </cell>
          <cell r="E989" t="str">
            <v>SULFATO DE POTASIO SOLUBLE</v>
          </cell>
          <cell r="F989" t="str">
            <v>WEGROW AG</v>
          </cell>
          <cell r="P989">
            <v>500</v>
          </cell>
          <cell r="R989" t="str">
            <v>CFR</v>
          </cell>
          <cell r="S989">
            <v>443</v>
          </cell>
          <cell r="Y989">
            <v>44041</v>
          </cell>
          <cell r="AF989" t="str">
            <v>CALLAO</v>
          </cell>
        </row>
        <row r="990">
          <cell r="C990" t="str">
            <v>MF-109B1/20</v>
          </cell>
          <cell r="E990" t="str">
            <v>SULFATO DE POTASIO SOLUBLE</v>
          </cell>
          <cell r="F990" t="str">
            <v>WEGROW AG</v>
          </cell>
          <cell r="P990">
            <v>1000</v>
          </cell>
          <cell r="R990" t="str">
            <v>CFR</v>
          </cell>
          <cell r="S990">
            <v>453</v>
          </cell>
          <cell r="Y990">
            <v>44041</v>
          </cell>
          <cell r="AF990" t="str">
            <v>PAITA</v>
          </cell>
        </row>
        <row r="991">
          <cell r="C991" t="str">
            <v>MF-109B2/20</v>
          </cell>
          <cell r="E991" t="str">
            <v>SULFATO DE POTASIO SOLUBLE</v>
          </cell>
          <cell r="F991" t="str">
            <v>WEGROW AG</v>
          </cell>
          <cell r="P991">
            <v>1000</v>
          </cell>
          <cell r="R991" t="str">
            <v>CFR</v>
          </cell>
          <cell r="S991">
            <v>453</v>
          </cell>
          <cell r="Y991">
            <v>44055</v>
          </cell>
          <cell r="AF991" t="str">
            <v>PAITA</v>
          </cell>
        </row>
        <row r="992">
          <cell r="C992" t="str">
            <v>MF-110/20</v>
          </cell>
          <cell r="E992" t="str">
            <v>YARALIVA CALCINIT X BIGBAG</v>
          </cell>
          <cell r="F992" t="str">
            <v>YARA PERÚ SRL</v>
          </cell>
          <cell r="P992">
            <v>216</v>
          </cell>
          <cell r="R992" t="str">
            <v>CFR</v>
          </cell>
          <cell r="S992">
            <v>242.44</v>
          </cell>
          <cell r="Y992">
            <v>43978</v>
          </cell>
          <cell r="AF992" t="str">
            <v>PAITA</v>
          </cell>
        </row>
        <row r="993">
          <cell r="C993" t="str">
            <v>MF-111/20</v>
          </cell>
          <cell r="E993" t="str">
            <v>YARATERA CALCINIT X 25KG</v>
          </cell>
          <cell r="F993" t="str">
            <v>YARA PERÚ SRL</v>
          </cell>
          <cell r="P993">
            <v>200</v>
          </cell>
          <cell r="R993" t="str">
            <v>CFR</v>
          </cell>
          <cell r="S993">
            <v>242.44</v>
          </cell>
          <cell r="Y993">
            <v>43985</v>
          </cell>
          <cell r="AF993" t="str">
            <v>PAITA</v>
          </cell>
        </row>
        <row r="994">
          <cell r="C994" t="str">
            <v>MF-112/20</v>
          </cell>
          <cell r="E994" t="str">
            <v>YARATERA CALCINIT X 25KG</v>
          </cell>
          <cell r="F994" t="str">
            <v>YARA PERÚ SRL</v>
          </cell>
          <cell r="P994">
            <v>250</v>
          </cell>
          <cell r="R994" t="str">
            <v>CFR</v>
          </cell>
          <cell r="S994">
            <v>242.44</v>
          </cell>
          <cell r="Y994">
            <v>43986</v>
          </cell>
          <cell r="AF994" t="str">
            <v>CALLAO</v>
          </cell>
        </row>
        <row r="995">
          <cell r="C995" t="str">
            <v>MF-113A/20</v>
          </cell>
          <cell r="E995" t="str">
            <v>FOSFATO MONOAMÓNICO CRISTALIZADO</v>
          </cell>
          <cell r="F995" t="str">
            <v>EVA-FERT AG</v>
          </cell>
          <cell r="P995">
            <v>450</v>
          </cell>
          <cell r="R995" t="str">
            <v>CFR</v>
          </cell>
          <cell r="S995">
            <v>586</v>
          </cell>
          <cell r="Y995">
            <v>44029</v>
          </cell>
          <cell r="AF995" t="str">
            <v>CALLAO</v>
          </cell>
        </row>
        <row r="996">
          <cell r="C996" t="str">
            <v>MF-113B/20</v>
          </cell>
          <cell r="E996" t="str">
            <v>FOSFATO MONOAMÓNICO CRISTALIZADO</v>
          </cell>
          <cell r="F996" t="str">
            <v>EVA-FERT AG</v>
          </cell>
          <cell r="P996">
            <v>400</v>
          </cell>
          <cell r="R996" t="str">
            <v>CFR</v>
          </cell>
          <cell r="S996">
            <v>596</v>
          </cell>
          <cell r="Y996">
            <v>44016</v>
          </cell>
          <cell r="AF996" t="str">
            <v>PAITA</v>
          </cell>
        </row>
        <row r="997">
          <cell r="C997" t="str">
            <v>MF-114/20</v>
          </cell>
          <cell r="E997" t="str">
            <v>SULFATO DE POTASIO SOLUBLE</v>
          </cell>
          <cell r="F997" t="str">
            <v>EVA-FERT AG</v>
          </cell>
          <cell r="P997">
            <v>100</v>
          </cell>
          <cell r="R997" t="str">
            <v>CFR</v>
          </cell>
          <cell r="S997">
            <v>445</v>
          </cell>
          <cell r="Y997">
            <v>44040</v>
          </cell>
          <cell r="AF997" t="str">
            <v>MATARANI</v>
          </cell>
        </row>
        <row r="998">
          <cell r="C998" t="str">
            <v>MF-115/20</v>
          </cell>
          <cell r="E998" t="str">
            <v>SULFATO DE POTASIO GRANULAR</v>
          </cell>
          <cell r="F998" t="str">
            <v>EVA-FERT AG</v>
          </cell>
          <cell r="P998">
            <v>140</v>
          </cell>
          <cell r="R998" t="str">
            <v>CFR</v>
          </cell>
          <cell r="S998">
            <v>416</v>
          </cell>
          <cell r="Y998">
            <v>44061</v>
          </cell>
          <cell r="AF998" t="str">
            <v>PAITA</v>
          </cell>
        </row>
        <row r="999">
          <cell r="C999" t="str">
            <v>MF-116/20</v>
          </cell>
          <cell r="E999" t="str">
            <v>SULFATO DE ZINC HEPTAHIDRATADO</v>
          </cell>
          <cell r="F999" t="str">
            <v>STAR GRACE MINING CO.,LTD</v>
          </cell>
          <cell r="P999">
            <v>250.8</v>
          </cell>
          <cell r="R999" t="str">
            <v>CFR</v>
          </cell>
          <cell r="S999">
            <v>449</v>
          </cell>
          <cell r="Y999">
            <v>44016</v>
          </cell>
          <cell r="AF999" t="str">
            <v>PAITA</v>
          </cell>
        </row>
        <row r="1000">
          <cell r="C1000" t="str">
            <v>MF-117/20</v>
          </cell>
          <cell r="E1000" t="str">
            <v>SULFATO DE ZINC HEPTAHIDRATADO</v>
          </cell>
          <cell r="F1000" t="str">
            <v>STAR GRACE MINING CO.,LTD</v>
          </cell>
          <cell r="P1000">
            <v>300</v>
          </cell>
          <cell r="R1000" t="str">
            <v>CFR</v>
          </cell>
          <cell r="S1000">
            <v>436</v>
          </cell>
          <cell r="Y1000">
            <v>44086</v>
          </cell>
          <cell r="AF1000" t="str">
            <v>CALLAO</v>
          </cell>
        </row>
        <row r="1001">
          <cell r="C1001" t="str">
            <v>MF-118A/20</v>
          </cell>
          <cell r="E1001" t="str">
            <v>NITRATO DE MAGNESIO HEXAHIDRATADO</v>
          </cell>
          <cell r="F1001" t="str">
            <v>AGRIFERT</v>
          </cell>
          <cell r="P1001">
            <v>450</v>
          </cell>
          <cell r="R1001" t="str">
            <v>CFR</v>
          </cell>
          <cell r="S1001">
            <v>228</v>
          </cell>
          <cell r="Y1001">
            <v>44071</v>
          </cell>
          <cell r="AF1001" t="str">
            <v>CALLAO</v>
          </cell>
        </row>
        <row r="1002">
          <cell r="C1002" t="str">
            <v>MF-118B/20</v>
          </cell>
          <cell r="E1002" t="str">
            <v>NITRATO DE MAGNESIO HEXAHIDRATADO</v>
          </cell>
          <cell r="F1002" t="str">
            <v>AGRIFERT</v>
          </cell>
          <cell r="P1002">
            <v>150</v>
          </cell>
          <cell r="R1002" t="str">
            <v>CFR</v>
          </cell>
          <cell r="S1002">
            <v>244</v>
          </cell>
          <cell r="Y1002">
            <v>44114</v>
          </cell>
          <cell r="AF1002" t="str">
            <v>PAITA</v>
          </cell>
        </row>
        <row r="1003">
          <cell r="C1003" t="str">
            <v>MF-119/20</v>
          </cell>
          <cell r="E1003" t="str">
            <v>SULFATO DE POTASIO GRANULAR</v>
          </cell>
          <cell r="F1003" t="str">
            <v>AGRIFERT</v>
          </cell>
          <cell r="P1003">
            <v>200</v>
          </cell>
          <cell r="R1003" t="str">
            <v>CFR</v>
          </cell>
          <cell r="S1003">
            <v>444</v>
          </cell>
          <cell r="Y1003">
            <v>44040</v>
          </cell>
          <cell r="AF1003" t="str">
            <v>MATARANI</v>
          </cell>
        </row>
        <row r="1004">
          <cell r="C1004" t="str">
            <v>MF-220/20</v>
          </cell>
          <cell r="E1004" t="str">
            <v>YARALIVA CALCINIT X BIGBAG</v>
          </cell>
          <cell r="F1004" t="str">
            <v>YARA PERÚ SRL</v>
          </cell>
          <cell r="P1004">
            <v>504</v>
          </cell>
          <cell r="R1004" t="str">
            <v>CFR</v>
          </cell>
          <cell r="S1004">
            <v>220.34</v>
          </cell>
          <cell r="Y1004">
            <v>43992</v>
          </cell>
          <cell r="AF1004" t="str">
            <v>PAITA</v>
          </cell>
        </row>
        <row r="1005">
          <cell r="C1005" t="str">
            <v>MF-221/20</v>
          </cell>
          <cell r="E1005" t="str">
            <v>YARATERA CALCINIT X 25KG</v>
          </cell>
          <cell r="F1005" t="str">
            <v>YARA PERÚ SRL</v>
          </cell>
          <cell r="P1005">
            <v>450</v>
          </cell>
          <cell r="R1005" t="str">
            <v>CFR</v>
          </cell>
          <cell r="S1005">
            <v>220.34</v>
          </cell>
          <cell r="Y1005">
            <v>44006</v>
          </cell>
          <cell r="AF1005" t="str">
            <v>PAITA</v>
          </cell>
        </row>
        <row r="1006">
          <cell r="C1006" t="str">
            <v>MF-222/20</v>
          </cell>
          <cell r="E1006" t="str">
            <v>YARATERA CALCINIT X 25KG</v>
          </cell>
          <cell r="F1006" t="str">
            <v>YARA PERÚ SRL</v>
          </cell>
          <cell r="P1006">
            <v>0</v>
          </cell>
          <cell r="R1006">
            <v>0</v>
          </cell>
          <cell r="S1006">
            <v>0</v>
          </cell>
          <cell r="Y1006">
            <v>0</v>
          </cell>
          <cell r="AF1006">
            <v>0</v>
          </cell>
        </row>
        <row r="1007">
          <cell r="C1007" t="str">
            <v>MF-223/20</v>
          </cell>
          <cell r="E1007" t="str">
            <v>YARATERA CALCINIT X 25KG</v>
          </cell>
          <cell r="F1007" t="str">
            <v>YARA PERÚ SRL</v>
          </cell>
          <cell r="P1007">
            <v>75</v>
          </cell>
          <cell r="R1007" t="str">
            <v>CFR</v>
          </cell>
          <cell r="S1007">
            <v>220.34</v>
          </cell>
          <cell r="Y1007">
            <v>44035</v>
          </cell>
          <cell r="AF1007" t="str">
            <v>MATARANI</v>
          </cell>
        </row>
        <row r="1008">
          <cell r="C1008" t="str">
            <v>MF-224/20</v>
          </cell>
          <cell r="E1008" t="str">
            <v>YARALIVA CALCINIT X BIGBAG</v>
          </cell>
          <cell r="F1008" t="str">
            <v>YARA PERÚ SRL</v>
          </cell>
          <cell r="P1008">
            <v>432</v>
          </cell>
          <cell r="R1008" t="str">
            <v>CFR</v>
          </cell>
          <cell r="S1008">
            <v>220.34</v>
          </cell>
          <cell r="Y1008">
            <v>44041</v>
          </cell>
          <cell r="AF1008" t="str">
            <v>PAITA</v>
          </cell>
        </row>
        <row r="1009">
          <cell r="C1009" t="str">
            <v>MF-225/20</v>
          </cell>
          <cell r="E1009" t="str">
            <v>YARATERA CALCINIT X 25KG</v>
          </cell>
          <cell r="F1009" t="str">
            <v>YARA PERÚ SRL</v>
          </cell>
          <cell r="P1009">
            <v>275</v>
          </cell>
          <cell r="R1009" t="str">
            <v>CFR</v>
          </cell>
          <cell r="S1009">
            <v>220.34</v>
          </cell>
          <cell r="Y1009">
            <v>44034</v>
          </cell>
          <cell r="AF1009" t="str">
            <v>PAITA</v>
          </cell>
        </row>
        <row r="1010">
          <cell r="C1010" t="str">
            <v>MF-226.1/20</v>
          </cell>
          <cell r="E1010" t="str">
            <v>YARATERA CALCINIT X 25KG</v>
          </cell>
          <cell r="F1010" t="str">
            <v>YARA PERÚ SRL</v>
          </cell>
          <cell r="P1010">
            <v>500</v>
          </cell>
          <cell r="R1010" t="str">
            <v>CFR</v>
          </cell>
          <cell r="S1010">
            <v>220.34</v>
          </cell>
          <cell r="Y1010">
            <v>44008</v>
          </cell>
          <cell r="AF1010" t="str">
            <v>CALLAO</v>
          </cell>
        </row>
        <row r="1011">
          <cell r="C1011" t="str">
            <v>MF-226.2/20</v>
          </cell>
          <cell r="E1011" t="str">
            <v>YARATERA CALCINIT X 25KG</v>
          </cell>
          <cell r="F1011" t="str">
            <v>YARA PERÚ SRL</v>
          </cell>
          <cell r="P1011">
            <v>275</v>
          </cell>
          <cell r="R1011" t="str">
            <v>CFR</v>
          </cell>
          <cell r="S1011">
            <v>220.34</v>
          </cell>
          <cell r="Y1011">
            <v>44000</v>
          </cell>
          <cell r="AF1011" t="str">
            <v>CALLAO</v>
          </cell>
        </row>
        <row r="1012">
          <cell r="C1012" t="str">
            <v>MF-227/20</v>
          </cell>
          <cell r="E1012" t="str">
            <v>YARATERA REXOLIN X60 X5KG</v>
          </cell>
          <cell r="F1012" t="str">
            <v>YARA PERÚ SRL</v>
          </cell>
          <cell r="P1012">
            <v>16</v>
          </cell>
          <cell r="R1012" t="str">
            <v>CFR</v>
          </cell>
          <cell r="S1012">
            <v>9560</v>
          </cell>
          <cell r="Y1012">
            <v>44055</v>
          </cell>
          <cell r="AF1012" t="str">
            <v>PAITA</v>
          </cell>
        </row>
        <row r="1013">
          <cell r="C1013" t="str">
            <v>MF-228/20</v>
          </cell>
          <cell r="E1013" t="str">
            <v>YARATERA CALCINIT X 25KG</v>
          </cell>
          <cell r="F1013" t="str">
            <v>YARA PERÚ SRL</v>
          </cell>
          <cell r="P1013">
            <v>500</v>
          </cell>
          <cell r="R1013" t="str">
            <v>CFR</v>
          </cell>
          <cell r="S1013">
            <v>220.34</v>
          </cell>
          <cell r="Y1013">
            <v>44020</v>
          </cell>
          <cell r="AF1013" t="str">
            <v>CALLAO</v>
          </cell>
        </row>
        <row r="1014">
          <cell r="C1014" t="str">
            <v>MF-229/20</v>
          </cell>
          <cell r="E1014" t="str">
            <v>NITRATO DE POTASIO CRISTALIZADO</v>
          </cell>
          <cell r="F1014" t="str">
            <v>ACF MINERA</v>
          </cell>
          <cell r="P1014">
            <v>408</v>
          </cell>
          <cell r="R1014" t="str">
            <v>CIF</v>
          </cell>
          <cell r="S1014">
            <v>655</v>
          </cell>
          <cell r="Y1014">
            <v>44032</v>
          </cell>
          <cell r="AF1014" t="str">
            <v>CALLAO</v>
          </cell>
        </row>
        <row r="1015">
          <cell r="C1015" t="str">
            <v>MF-230/20</v>
          </cell>
          <cell r="E1015" t="str">
            <v>NITRATO DE POTASIO CRISTALIZADO</v>
          </cell>
          <cell r="F1015" t="str">
            <v>ACF MINERA</v>
          </cell>
          <cell r="P1015">
            <v>408</v>
          </cell>
          <cell r="R1015" t="str">
            <v>CIF</v>
          </cell>
          <cell r="S1015">
            <v>675</v>
          </cell>
          <cell r="Y1015">
            <v>44027</v>
          </cell>
          <cell r="AF1015" t="str">
            <v>PAITA</v>
          </cell>
        </row>
        <row r="1016">
          <cell r="C1016" t="str">
            <v>MF-231/20</v>
          </cell>
          <cell r="E1016" t="str">
            <v>YARAMILA KABAL PLUS NPK 10-30-10 X50KG</v>
          </cell>
          <cell r="F1016" t="str">
            <v>YARA PERÚ SRL</v>
          </cell>
          <cell r="P1016">
            <v>748</v>
          </cell>
          <cell r="R1016" t="str">
            <v>CFR</v>
          </cell>
          <cell r="S1016">
            <v>372</v>
          </cell>
          <cell r="Y1016">
            <v>44092</v>
          </cell>
          <cell r="AF1016" t="str">
            <v>MATARANI</v>
          </cell>
        </row>
        <row r="1017">
          <cell r="C1017" t="str">
            <v>MF-232/20</v>
          </cell>
          <cell r="E1017" t="str">
            <v>YARAMILA TRISTAR NKP 15-15-15 X50KG</v>
          </cell>
          <cell r="F1017" t="str">
            <v>YARA PERÚ SRL</v>
          </cell>
          <cell r="P1017">
            <v>792</v>
          </cell>
          <cell r="R1017" t="str">
            <v>CFR</v>
          </cell>
          <cell r="S1017">
            <v>359</v>
          </cell>
          <cell r="Y1017">
            <v>44056</v>
          </cell>
          <cell r="AF1017" t="str">
            <v>MATARANI</v>
          </cell>
        </row>
        <row r="1018">
          <cell r="C1018" t="str">
            <v>MF-233/20</v>
          </cell>
          <cell r="E1018" t="str">
            <v>YARAMILA KABAL PLUS NPK 10-30-10 X50KG</v>
          </cell>
          <cell r="F1018" t="str">
            <v>YARA PERÚ SRL</v>
          </cell>
          <cell r="P1018">
            <v>110</v>
          </cell>
          <cell r="R1018" t="str">
            <v>CFR</v>
          </cell>
          <cell r="S1018">
            <v>359</v>
          </cell>
          <cell r="Y1018">
            <v>44035</v>
          </cell>
          <cell r="AF1018" t="str">
            <v>CALLAO</v>
          </cell>
        </row>
        <row r="1019">
          <cell r="C1019" t="str">
            <v>MF-234/20</v>
          </cell>
          <cell r="E1019" t="str">
            <v>YARAMILA KABAL NPK 10-20-20 X 50KG</v>
          </cell>
          <cell r="F1019" t="str">
            <v>YARA PERÚ SRL</v>
          </cell>
          <cell r="P1019">
            <v>308</v>
          </cell>
          <cell r="R1019" t="str">
            <v>CFR</v>
          </cell>
          <cell r="S1019">
            <v>354</v>
          </cell>
          <cell r="Y1019">
            <v>44029</v>
          </cell>
          <cell r="AF1019" t="str">
            <v>CALLAO</v>
          </cell>
        </row>
        <row r="1020">
          <cell r="C1020" t="str">
            <v>MF-235/20</v>
          </cell>
          <cell r="E1020" t="str">
            <v>YARAMILA TRISTAR NKP 15-15-15 X50KG</v>
          </cell>
          <cell r="F1020" t="str">
            <v>YARA PERÚ SRL</v>
          </cell>
          <cell r="P1020">
            <v>154</v>
          </cell>
          <cell r="R1020" t="str">
            <v>CFR</v>
          </cell>
          <cell r="S1020">
            <v>347</v>
          </cell>
          <cell r="Y1020">
            <v>44035</v>
          </cell>
          <cell r="AF1020" t="str">
            <v>CALLAO</v>
          </cell>
        </row>
        <row r="1021">
          <cell r="C1021" t="str">
            <v>MF-236/20</v>
          </cell>
          <cell r="E1021" t="str">
            <v>YARAMILA KABAL PLUS NPK 10-30-10 X50KG</v>
          </cell>
          <cell r="F1021" t="str">
            <v>YARA PERÚ SRL</v>
          </cell>
          <cell r="P1021">
            <v>396</v>
          </cell>
          <cell r="R1021" t="str">
            <v>CFR</v>
          </cell>
          <cell r="S1021">
            <v>360</v>
          </cell>
          <cell r="Y1021">
            <v>44034</v>
          </cell>
          <cell r="AF1021" t="str">
            <v>PAITA</v>
          </cell>
        </row>
        <row r="1022">
          <cell r="C1022" t="str">
            <v>MF-237/20</v>
          </cell>
          <cell r="E1022" t="str">
            <v>YARAMILA TRISTAR NKP 15-15-15 X50KG</v>
          </cell>
          <cell r="F1022" t="str">
            <v>YARA PERÚ SRL</v>
          </cell>
          <cell r="P1022">
            <v>154</v>
          </cell>
          <cell r="R1022" t="str">
            <v>CFR</v>
          </cell>
          <cell r="S1022">
            <v>347</v>
          </cell>
          <cell r="Y1022">
            <v>44027</v>
          </cell>
          <cell r="AF1022" t="str">
            <v>PAITA</v>
          </cell>
        </row>
        <row r="1023">
          <cell r="C1023" t="str">
            <v>MF-238/20</v>
          </cell>
          <cell r="E1023" t="str">
            <v>VEGEX CRISOIL X 20L</v>
          </cell>
          <cell r="F1023" t="str">
            <v>IDAI NATURE</v>
          </cell>
          <cell r="P1023">
            <v>4.45</v>
          </cell>
          <cell r="R1023" t="str">
            <v>CIF</v>
          </cell>
          <cell r="S1023">
            <v>39097.815699999999</v>
          </cell>
          <cell r="Y1023">
            <v>44041</v>
          </cell>
          <cell r="AF1023" t="str">
            <v>CALLAO</v>
          </cell>
        </row>
        <row r="1024">
          <cell r="C1024" t="str">
            <v>MF-239.1/20</v>
          </cell>
          <cell r="E1024" t="str">
            <v>ÁCIDO FOSFÓRICO</v>
          </cell>
          <cell r="F1024" t="str">
            <v>MITSUI &amp; CO., Ltda</v>
          </cell>
          <cell r="P1024">
            <v>292.60000000000002</v>
          </cell>
          <cell r="R1024" t="str">
            <v>CFR</v>
          </cell>
          <cell r="S1024">
            <v>837</v>
          </cell>
          <cell r="Y1024">
            <v>44080</v>
          </cell>
          <cell r="AF1024" t="str">
            <v>CALLAO</v>
          </cell>
        </row>
        <row r="1025">
          <cell r="C1025" t="str">
            <v>MF-239.2/20</v>
          </cell>
          <cell r="E1025" t="str">
            <v>ÁCIDO FOSFÓRICO</v>
          </cell>
          <cell r="F1025" t="str">
            <v>MITSUI &amp; CO., Ltda</v>
          </cell>
          <cell r="P1025">
            <v>319.2</v>
          </cell>
          <cell r="R1025" t="str">
            <v>CFR</v>
          </cell>
          <cell r="S1025">
            <v>837</v>
          </cell>
          <cell r="Y1025">
            <v>44114</v>
          </cell>
          <cell r="AF1025" t="str">
            <v>CALLAO</v>
          </cell>
        </row>
        <row r="1026">
          <cell r="C1026" t="str">
            <v>MF-240.1/20</v>
          </cell>
          <cell r="E1026" t="str">
            <v>ÁCIDO FOSFÓRICO</v>
          </cell>
          <cell r="F1026" t="str">
            <v>MITSUI &amp; CO., Ltda</v>
          </cell>
          <cell r="P1026">
            <v>292.60000000000002</v>
          </cell>
          <cell r="R1026" t="str">
            <v>CFR</v>
          </cell>
          <cell r="S1026">
            <v>847</v>
          </cell>
          <cell r="Y1026">
            <v>44097</v>
          </cell>
          <cell r="AF1026" t="str">
            <v>PAITA</v>
          </cell>
        </row>
        <row r="1027">
          <cell r="C1027" t="str">
            <v>MF-240.2/20</v>
          </cell>
          <cell r="E1027" t="str">
            <v>ÁCIDO FOSFÓRICO</v>
          </cell>
          <cell r="F1027" t="str">
            <v>MITSUI &amp; CO., Ltda</v>
          </cell>
          <cell r="P1027">
            <v>319.2</v>
          </cell>
          <cell r="R1027" t="str">
            <v>CFR</v>
          </cell>
          <cell r="S1027">
            <v>847</v>
          </cell>
          <cell r="Y1027">
            <v>44127</v>
          </cell>
          <cell r="AF1027" t="str">
            <v>PAITA</v>
          </cell>
        </row>
        <row r="1028">
          <cell r="C1028" t="str">
            <v>MF-241/20</v>
          </cell>
          <cell r="E1028" t="str">
            <v>FOSFATO MONOAMÓNICO CRISTALIZADO</v>
          </cell>
          <cell r="F1028" t="str">
            <v>WEGROW AG</v>
          </cell>
          <cell r="P1028">
            <v>200</v>
          </cell>
          <cell r="R1028" t="str">
            <v>CFR</v>
          </cell>
          <cell r="S1028">
            <v>593.5</v>
          </cell>
          <cell r="Y1028">
            <v>44093</v>
          </cell>
          <cell r="AF1028" t="str">
            <v>MATARANI</v>
          </cell>
        </row>
        <row r="1029">
          <cell r="C1029" t="str">
            <v>MF-242/20</v>
          </cell>
          <cell r="E1029" t="str">
            <v>SULFATO DE POTASIO SOLUBLE</v>
          </cell>
          <cell r="F1029" t="str">
            <v>MITSUI &amp; CO., Ltda</v>
          </cell>
          <cell r="P1029">
            <v>0</v>
          </cell>
          <cell r="R1029">
            <v>0</v>
          </cell>
          <cell r="S1029">
            <v>0</v>
          </cell>
          <cell r="Y1029">
            <v>0</v>
          </cell>
          <cell r="AF1029">
            <v>0</v>
          </cell>
        </row>
        <row r="1030">
          <cell r="C1030" t="str">
            <v>MF-243/20</v>
          </cell>
          <cell r="E1030" t="str">
            <v>SULFATO DE POTASIO GRANULAR</v>
          </cell>
          <cell r="F1030" t="str">
            <v>EVA-FERT AG</v>
          </cell>
          <cell r="P1030">
            <v>192.5</v>
          </cell>
          <cell r="R1030" t="str">
            <v>CFR</v>
          </cell>
          <cell r="S1030">
            <v>431</v>
          </cell>
          <cell r="Y1030">
            <v>44078</v>
          </cell>
          <cell r="AF1030" t="str">
            <v>PAITA</v>
          </cell>
        </row>
        <row r="1031">
          <cell r="C1031" t="str">
            <v>MF-244/20</v>
          </cell>
          <cell r="E1031" t="str">
            <v>YARALIVA NITRABOR A GRANEL</v>
          </cell>
          <cell r="F1031" t="str">
            <v>YARA PERÚ SRL</v>
          </cell>
          <cell r="P1031">
            <v>240.13499999999999</v>
          </cell>
          <cell r="R1031" t="str">
            <v>CFR</v>
          </cell>
          <cell r="S1031">
            <v>288</v>
          </cell>
          <cell r="Y1031">
            <v>44043</v>
          </cell>
          <cell r="AF1031" t="str">
            <v>CALLAO</v>
          </cell>
        </row>
        <row r="1032">
          <cell r="C1032" t="str">
            <v>MF-245/20</v>
          </cell>
          <cell r="E1032" t="str">
            <v>YARALIVA NITRABOR A GRANEL</v>
          </cell>
          <cell r="F1032" t="str">
            <v>YARA PERÚ SRL</v>
          </cell>
          <cell r="P1032">
            <v>425.06</v>
          </cell>
          <cell r="R1032" t="str">
            <v>CFR</v>
          </cell>
          <cell r="S1032">
            <v>288</v>
          </cell>
          <cell r="Y1032">
            <v>44041</v>
          </cell>
          <cell r="AF1032" t="str">
            <v>PAITA</v>
          </cell>
        </row>
        <row r="1033">
          <cell r="C1033" t="str">
            <v>MF-246/20</v>
          </cell>
          <cell r="E1033" t="str">
            <v>YARALIVA NITRABOR A GRANEL</v>
          </cell>
          <cell r="F1033" t="str">
            <v>YARA PERÚ SRL</v>
          </cell>
          <cell r="P1033">
            <v>106.34</v>
          </cell>
          <cell r="R1033" t="str">
            <v>CFR</v>
          </cell>
          <cell r="S1033">
            <v>288</v>
          </cell>
          <cell r="Y1033">
            <v>44056</v>
          </cell>
          <cell r="AF1033" t="str">
            <v>MATARANI</v>
          </cell>
        </row>
        <row r="1034">
          <cell r="C1034" t="str">
            <v>MF-247/20</v>
          </cell>
          <cell r="E1034" t="str">
            <v>MICROELEMENTO SFERA 4 - 50KG</v>
          </cell>
          <cell r="F1034" t="str">
            <v>MANTTRA AMERICAS</v>
          </cell>
          <cell r="P1034">
            <v>52</v>
          </cell>
          <cell r="R1034" t="str">
            <v>CFR</v>
          </cell>
          <cell r="S1034">
            <v>280</v>
          </cell>
          <cell r="Y1034">
            <v>44065</v>
          </cell>
          <cell r="AF1034" t="str">
            <v>CALLAO</v>
          </cell>
        </row>
        <row r="1035">
          <cell r="C1035" t="str">
            <v>MF-248/20</v>
          </cell>
          <cell r="E1035" t="str">
            <v>NITRATO DE POTASIO CRISTALIZADO</v>
          </cell>
          <cell r="F1035" t="str">
            <v>WEGROW AG</v>
          </cell>
          <cell r="P1035">
            <v>96</v>
          </cell>
          <cell r="R1035" t="str">
            <v>CPT</v>
          </cell>
          <cell r="S1035">
            <v>655</v>
          </cell>
          <cell r="Y1035">
            <v>44063</v>
          </cell>
          <cell r="AF1035" t="str">
            <v>CALLAO</v>
          </cell>
        </row>
        <row r="1036">
          <cell r="C1036" t="str">
            <v>MF-249A/20</v>
          </cell>
          <cell r="E1036" t="str">
            <v>POTASHPLUS A GRANEL</v>
          </cell>
          <cell r="F1036" t="str">
            <v>ICL EUROPE COOPERATIEF U.A.</v>
          </cell>
          <cell r="P1036">
            <v>167.8</v>
          </cell>
          <cell r="R1036" t="str">
            <v>CFR</v>
          </cell>
          <cell r="S1036">
            <v>235</v>
          </cell>
          <cell r="Y1036">
            <v>44064</v>
          </cell>
          <cell r="AF1036" t="str">
            <v>CALLAO</v>
          </cell>
        </row>
        <row r="1037">
          <cell r="C1037" t="str">
            <v>MF-249B/20</v>
          </cell>
          <cell r="E1037" t="str">
            <v>POTASHPLUS A GRANEL</v>
          </cell>
          <cell r="F1037" t="str">
            <v>ICL EUROPE COOPERATIEF U.A.</v>
          </cell>
          <cell r="P1037">
            <v>251.5</v>
          </cell>
          <cell r="R1037" t="str">
            <v>CFR</v>
          </cell>
          <cell r="S1037">
            <v>235</v>
          </cell>
          <cell r="Y1037">
            <v>44071</v>
          </cell>
          <cell r="AF1037" t="str">
            <v>PAITA</v>
          </cell>
        </row>
        <row r="1038">
          <cell r="C1038" t="str">
            <v>MF-250A/20</v>
          </cell>
          <cell r="E1038" t="str">
            <v>SULFATO DE AMONIO ESTÁNDAR</v>
          </cell>
          <cell r="F1038" t="str">
            <v xml:space="preserve">TGO Agriculture (USA) Inc. </v>
          </cell>
          <cell r="P1038">
            <v>400</v>
          </cell>
          <cell r="R1038" t="str">
            <v>CFR</v>
          </cell>
          <cell r="S1038">
            <v>123.22</v>
          </cell>
          <cell r="Y1038">
            <v>44029</v>
          </cell>
          <cell r="AF1038" t="str">
            <v>PAITA</v>
          </cell>
        </row>
        <row r="1039">
          <cell r="C1039" t="str">
            <v>MF-250B/20</v>
          </cell>
          <cell r="E1039" t="str">
            <v>SULFATO DE AMONIO ESTÁNDAR</v>
          </cell>
          <cell r="F1039" t="str">
            <v xml:space="preserve">TGO Agriculture (USA) Inc. </v>
          </cell>
          <cell r="P1039">
            <v>1000</v>
          </cell>
          <cell r="R1039" t="str">
            <v>CFR</v>
          </cell>
          <cell r="S1039">
            <v>123.22</v>
          </cell>
          <cell r="Y1039">
            <v>44035</v>
          </cell>
          <cell r="AF1039" t="str">
            <v>CALLAO</v>
          </cell>
        </row>
        <row r="1040">
          <cell r="C1040" t="str">
            <v>MF-250C/20</v>
          </cell>
          <cell r="E1040" t="str">
            <v>SULFATO DE AMONIO ESTÁNDAR</v>
          </cell>
          <cell r="F1040" t="str">
            <v xml:space="preserve">TGO Agriculture (USA) Inc. </v>
          </cell>
          <cell r="P1040">
            <v>200</v>
          </cell>
          <cell r="R1040" t="str">
            <v>CFR</v>
          </cell>
          <cell r="S1040">
            <v>123.22</v>
          </cell>
          <cell r="Y1040">
            <v>44037</v>
          </cell>
          <cell r="AF1040" t="str">
            <v>PISCO</v>
          </cell>
        </row>
        <row r="1041">
          <cell r="C1041" t="str">
            <v>MF-251A/20</v>
          </cell>
          <cell r="E1041" t="str">
            <v>FOSFATO DIAMÓNICO GRANULAR</v>
          </cell>
          <cell r="F1041" t="str">
            <v xml:space="preserve">TGO Agriculture (USA) Inc. </v>
          </cell>
          <cell r="P1041">
            <v>300</v>
          </cell>
          <cell r="R1041" t="str">
            <v>CFR</v>
          </cell>
          <cell r="S1041">
            <v>338.6</v>
          </cell>
          <cell r="Y1041">
            <v>44029</v>
          </cell>
          <cell r="AF1041" t="str">
            <v>PAITA</v>
          </cell>
        </row>
        <row r="1042">
          <cell r="C1042" t="str">
            <v>MF-251B/20</v>
          </cell>
          <cell r="E1042" t="str">
            <v>FOSFATO DIAMÓNICO GRANULAR</v>
          </cell>
          <cell r="F1042" t="str">
            <v xml:space="preserve">TGO Agriculture (USA) Inc. </v>
          </cell>
          <cell r="P1042">
            <v>400</v>
          </cell>
          <cell r="R1042" t="str">
            <v>CFR</v>
          </cell>
          <cell r="S1042">
            <v>338.6</v>
          </cell>
          <cell r="Y1042">
            <v>44035</v>
          </cell>
          <cell r="AF1042" t="str">
            <v>CALLAO</v>
          </cell>
        </row>
        <row r="1043">
          <cell r="C1043" t="str">
            <v>MF-251C/20</v>
          </cell>
          <cell r="E1043" t="str">
            <v>FOSFATO DIAMÓNICO GRANULAR</v>
          </cell>
          <cell r="F1043" t="str">
            <v xml:space="preserve">TGO Agriculture (USA) Inc. </v>
          </cell>
          <cell r="P1043">
            <v>350</v>
          </cell>
          <cell r="R1043" t="str">
            <v>CFR</v>
          </cell>
          <cell r="S1043">
            <v>338.6</v>
          </cell>
          <cell r="Y1043">
            <v>44037</v>
          </cell>
          <cell r="AF1043" t="str">
            <v>PISCO</v>
          </cell>
        </row>
        <row r="1044">
          <cell r="C1044" t="str">
            <v>MF-251D/20</v>
          </cell>
          <cell r="E1044" t="str">
            <v>FOSFATO DIAMÓNICO GRANULAR</v>
          </cell>
          <cell r="F1044" t="str">
            <v xml:space="preserve">TGO Agriculture (USA) Inc. </v>
          </cell>
          <cell r="P1044">
            <v>450</v>
          </cell>
          <cell r="R1044" t="str">
            <v>CFR</v>
          </cell>
          <cell r="S1044">
            <v>338.6</v>
          </cell>
          <cell r="Y1044">
            <v>44039</v>
          </cell>
          <cell r="AF1044" t="str">
            <v>MATARANI</v>
          </cell>
        </row>
        <row r="1045">
          <cell r="C1045" t="str">
            <v>MF-252A/20</v>
          </cell>
          <cell r="E1045" t="str">
            <v>NITRATO DE AMONIO</v>
          </cell>
          <cell r="F1045" t="str">
            <v>URALCHEM (MITSUI)</v>
          </cell>
          <cell r="P1045">
            <v>1130</v>
          </cell>
          <cell r="R1045" t="str">
            <v>CFR</v>
          </cell>
          <cell r="S1045">
            <v>218.6</v>
          </cell>
          <cell r="Y1045">
            <v>44084</v>
          </cell>
          <cell r="AF1045" t="str">
            <v>PAITA</v>
          </cell>
        </row>
        <row r="1046">
          <cell r="C1046" t="str">
            <v>MF-252B/20</v>
          </cell>
          <cell r="E1046" t="str">
            <v>NITRATO DE AMONIO</v>
          </cell>
          <cell r="F1046" t="str">
            <v>URALCHEM (MITSUI)</v>
          </cell>
          <cell r="P1046">
            <v>2880</v>
          </cell>
          <cell r="R1046" t="str">
            <v>CFR</v>
          </cell>
          <cell r="S1046">
            <v>218.6</v>
          </cell>
          <cell r="Y1046">
            <v>44087</v>
          </cell>
          <cell r="AF1046" t="str">
            <v>SALAVERRY</v>
          </cell>
        </row>
        <row r="1047">
          <cell r="C1047" t="str">
            <v>MF-252C/20</v>
          </cell>
          <cell r="E1047" t="str">
            <v>NITRATO DE AMONIO</v>
          </cell>
          <cell r="F1047" t="str">
            <v>URALCHEM (MITSUI)</v>
          </cell>
          <cell r="P1047">
            <v>2280</v>
          </cell>
          <cell r="R1047" t="str">
            <v>CFR</v>
          </cell>
          <cell r="S1047">
            <v>218.6</v>
          </cell>
          <cell r="Y1047">
            <v>44089</v>
          </cell>
          <cell r="AF1047" t="str">
            <v>CALLAO</v>
          </cell>
        </row>
        <row r="1048">
          <cell r="C1048" t="str">
            <v>MF-252D/20</v>
          </cell>
          <cell r="E1048" t="str">
            <v>NITRATO DE AMONIO</v>
          </cell>
          <cell r="F1048" t="str">
            <v>URALCHEM (MITSUI)</v>
          </cell>
          <cell r="P1048">
            <v>960</v>
          </cell>
          <cell r="R1048" t="str">
            <v>CFR</v>
          </cell>
          <cell r="S1048">
            <v>218.6</v>
          </cell>
          <cell r="Y1048">
            <v>44093</v>
          </cell>
          <cell r="AF1048" t="str">
            <v>PISCO</v>
          </cell>
        </row>
        <row r="1049">
          <cell r="C1049" t="str">
            <v>MF-252E/20</v>
          </cell>
          <cell r="E1049" t="str">
            <v>NITRATO DE AMONIO</v>
          </cell>
          <cell r="F1049" t="str">
            <v>URALCHEM (MITSUI)</v>
          </cell>
          <cell r="P1049">
            <v>1925</v>
          </cell>
          <cell r="R1049" t="str">
            <v>CFR</v>
          </cell>
          <cell r="S1049">
            <v>218.6</v>
          </cell>
          <cell r="Y1049">
            <v>44095</v>
          </cell>
          <cell r="AF1049" t="str">
            <v>MATARANI</v>
          </cell>
        </row>
        <row r="1050">
          <cell r="C1050" t="str">
            <v>MF-253A/20</v>
          </cell>
          <cell r="E1050" t="str">
            <v>CLORURO DE POTASIO ROJO GRANULAR</v>
          </cell>
          <cell r="F1050" t="str">
            <v>URALKALI</v>
          </cell>
          <cell r="P1050">
            <v>270</v>
          </cell>
          <cell r="R1050" t="str">
            <v>CFR</v>
          </cell>
          <cell r="S1050">
            <v>235</v>
          </cell>
          <cell r="Y1050">
            <v>44084</v>
          </cell>
          <cell r="AF1050" t="str">
            <v>PAITA</v>
          </cell>
        </row>
        <row r="1051">
          <cell r="C1051" t="str">
            <v>MF-253B/20</v>
          </cell>
          <cell r="E1051" t="str">
            <v>CLORURO DE POTASIO ROJO GRANULAR</v>
          </cell>
          <cell r="F1051" t="str">
            <v>URALKALI</v>
          </cell>
          <cell r="P1051">
            <v>2600</v>
          </cell>
          <cell r="R1051" t="str">
            <v>CFR</v>
          </cell>
          <cell r="S1051">
            <v>235</v>
          </cell>
          <cell r="Y1051">
            <v>44089</v>
          </cell>
          <cell r="AF1051" t="str">
            <v>CALLAO</v>
          </cell>
        </row>
        <row r="1052">
          <cell r="C1052" t="str">
            <v>MF-253C/20</v>
          </cell>
          <cell r="E1052" t="str">
            <v>CLORURO DE POTASIO ROJO GRANULAR</v>
          </cell>
          <cell r="F1052" t="str">
            <v>URALKALI</v>
          </cell>
          <cell r="P1052">
            <v>220</v>
          </cell>
          <cell r="R1052" t="str">
            <v>CFR</v>
          </cell>
          <cell r="S1052">
            <v>235</v>
          </cell>
          <cell r="Y1052">
            <v>44093</v>
          </cell>
          <cell r="AF1052" t="str">
            <v>PISCO</v>
          </cell>
        </row>
        <row r="1053">
          <cell r="C1053" t="str">
            <v>MF-253D/20</v>
          </cell>
          <cell r="E1053" t="str">
            <v>CLORURO DE POTASIO ROJO GRANULAR</v>
          </cell>
          <cell r="F1053" t="str">
            <v>URALKALI</v>
          </cell>
          <cell r="P1053">
            <v>760</v>
          </cell>
          <cell r="R1053" t="str">
            <v>CFR</v>
          </cell>
          <cell r="S1053">
            <v>235</v>
          </cell>
          <cell r="Y1053">
            <v>44095</v>
          </cell>
          <cell r="AF1053" t="str">
            <v>MATARANI</v>
          </cell>
        </row>
        <row r="1054">
          <cell r="C1054" t="str">
            <v>MF-254A/20</v>
          </cell>
          <cell r="E1054" t="str">
            <v>UREA PERLADA</v>
          </cell>
          <cell r="F1054" t="str">
            <v>DREYMOOR</v>
          </cell>
          <cell r="P1054">
            <v>1100</v>
          </cell>
          <cell r="R1054" t="str">
            <v>CFR</v>
          </cell>
          <cell r="S1054">
            <v>254</v>
          </cell>
          <cell r="Y1054">
            <v>44084</v>
          </cell>
          <cell r="AF1054" t="str">
            <v>PAITA</v>
          </cell>
        </row>
        <row r="1055">
          <cell r="C1055" t="str">
            <v>MF-254B/20</v>
          </cell>
          <cell r="E1055" t="str">
            <v>UREA PERLADA</v>
          </cell>
          <cell r="F1055" t="str">
            <v>DREYMOOR</v>
          </cell>
          <cell r="P1055">
            <v>1493</v>
          </cell>
          <cell r="R1055" t="str">
            <v>CFR</v>
          </cell>
          <cell r="S1055">
            <v>254</v>
          </cell>
          <cell r="Y1055">
            <v>44089</v>
          </cell>
          <cell r="AF1055" t="str">
            <v>CALLAO</v>
          </cell>
        </row>
        <row r="1056">
          <cell r="C1056" t="str">
            <v>MF-254C/20</v>
          </cell>
          <cell r="E1056" t="str">
            <v>UREA PERLADA</v>
          </cell>
          <cell r="F1056" t="str">
            <v>DREYMOOR</v>
          </cell>
          <cell r="P1056">
            <v>300</v>
          </cell>
          <cell r="R1056" t="str">
            <v>CFR</v>
          </cell>
          <cell r="S1056">
            <v>254</v>
          </cell>
          <cell r="Y1056">
            <v>44093</v>
          </cell>
          <cell r="AF1056" t="str">
            <v>PISCO</v>
          </cell>
        </row>
        <row r="1057">
          <cell r="C1057" t="str">
            <v>MF-254D/20</v>
          </cell>
          <cell r="E1057" t="str">
            <v>UREA PERLADA</v>
          </cell>
          <cell r="F1057" t="str">
            <v>DREYMOOR</v>
          </cell>
          <cell r="P1057">
            <v>350</v>
          </cell>
          <cell r="R1057" t="str">
            <v>CFR</v>
          </cell>
          <cell r="S1057">
            <v>254</v>
          </cell>
          <cell r="Y1057">
            <v>44095</v>
          </cell>
          <cell r="AF1057" t="str">
            <v>MATARANI</v>
          </cell>
        </row>
        <row r="1058">
          <cell r="C1058" t="str">
            <v>MF-255/20</v>
          </cell>
          <cell r="E1058" t="str">
            <v>CLORURO DE POTASIO ROJO GRANULAR</v>
          </cell>
          <cell r="F1058" t="str">
            <v>NITRON GROUP LLC</v>
          </cell>
          <cell r="P1058">
            <v>330</v>
          </cell>
          <cell r="R1058" t="str">
            <v>CFR</v>
          </cell>
          <cell r="S1058">
            <v>240</v>
          </cell>
          <cell r="Y1058">
            <v>44050</v>
          </cell>
          <cell r="AF1058" t="str">
            <v>PAITA</v>
          </cell>
        </row>
        <row r="1059">
          <cell r="C1059" t="str">
            <v>MF-256/20</v>
          </cell>
          <cell r="E1059" t="str">
            <v>YARATERA CALCINIT X 25KG</v>
          </cell>
          <cell r="F1059" t="str">
            <v>YARA PERÚ SRL</v>
          </cell>
          <cell r="P1059">
            <v>475</v>
          </cell>
          <cell r="R1059" t="str">
            <v>CFR</v>
          </cell>
          <cell r="S1059">
            <v>249.9</v>
          </cell>
          <cell r="Y1059">
            <v>44062</v>
          </cell>
          <cell r="AF1059" t="str">
            <v>PAITA</v>
          </cell>
        </row>
        <row r="1060">
          <cell r="C1060" t="str">
            <v>MF-257/20</v>
          </cell>
          <cell r="E1060" t="str">
            <v>YARATERA CALCINIT X 25KG</v>
          </cell>
          <cell r="F1060" t="str">
            <v>YARA PERÚ SRL</v>
          </cell>
          <cell r="P1060">
            <v>475</v>
          </cell>
          <cell r="R1060" t="str">
            <v>CFR</v>
          </cell>
          <cell r="S1060">
            <v>249.9</v>
          </cell>
          <cell r="Y1060">
            <v>44062</v>
          </cell>
          <cell r="AF1060" t="str">
            <v>PAITA</v>
          </cell>
        </row>
        <row r="1061">
          <cell r="C1061" t="str">
            <v>MF-258.1/20</v>
          </cell>
          <cell r="E1061" t="str">
            <v>ÁCIDO FOSFÓRICO</v>
          </cell>
          <cell r="F1061" t="str">
            <v>NEW CHINA CHEMICALS CO., LTD.</v>
          </cell>
          <cell r="P1061">
            <v>336.7</v>
          </cell>
          <cell r="R1061" t="str">
            <v>CIF</v>
          </cell>
          <cell r="S1061">
            <v>825</v>
          </cell>
          <cell r="Y1061">
            <v>44106</v>
          </cell>
          <cell r="AF1061" t="str">
            <v>PAITA</v>
          </cell>
        </row>
        <row r="1062">
          <cell r="C1062" t="str">
            <v>MF-258.2/20</v>
          </cell>
          <cell r="E1062" t="str">
            <v>ÁCIDO FOSFÓRICO</v>
          </cell>
          <cell r="F1062" t="str">
            <v>NEW CHINA CHEMICALS CO., LTD.</v>
          </cell>
          <cell r="P1062">
            <v>362.6</v>
          </cell>
          <cell r="R1062" t="str">
            <v>CIF</v>
          </cell>
          <cell r="S1062">
            <v>825</v>
          </cell>
          <cell r="Y1062">
            <v>44120</v>
          </cell>
          <cell r="AF1062" t="str">
            <v>PAITA</v>
          </cell>
        </row>
        <row r="1063">
          <cell r="C1063" t="str">
            <v>MF-259/20</v>
          </cell>
          <cell r="E1063" t="str">
            <v>YARALIVA CALCINIT X BIGBAG</v>
          </cell>
          <cell r="F1063" t="str">
            <v>YARA PERÚ SRL</v>
          </cell>
          <cell r="P1063">
            <v>432</v>
          </cell>
          <cell r="R1063" t="str">
            <v>CFR</v>
          </cell>
          <cell r="S1063">
            <v>220.34</v>
          </cell>
          <cell r="Y1063">
            <v>44048</v>
          </cell>
          <cell r="AF1063" t="str">
            <v>PAITA</v>
          </cell>
        </row>
        <row r="1064">
          <cell r="C1064" t="str">
            <v>MF-260/20</v>
          </cell>
          <cell r="E1064" t="str">
            <v>YARATERA CALCINIT X 25KG</v>
          </cell>
          <cell r="F1064" t="str">
            <v>YARA PERÚ SRL</v>
          </cell>
          <cell r="P1064">
            <v>125</v>
          </cell>
          <cell r="R1064" t="str">
            <v>CFR</v>
          </cell>
          <cell r="S1064">
            <v>220.34</v>
          </cell>
          <cell r="Y1064">
            <v>44048</v>
          </cell>
          <cell r="AF1064" t="str">
            <v>PAITA</v>
          </cell>
        </row>
        <row r="1065">
          <cell r="C1065" t="str">
            <v>MF-261/20</v>
          </cell>
          <cell r="E1065" t="str">
            <v>YARATERA CALCINIT X 25KG</v>
          </cell>
          <cell r="F1065" t="str">
            <v>YARA PERÚ SRL</v>
          </cell>
          <cell r="P1065">
            <v>625</v>
          </cell>
          <cell r="R1065" t="str">
            <v>CFR</v>
          </cell>
          <cell r="S1065">
            <v>220.34</v>
          </cell>
          <cell r="Y1065">
            <v>44050</v>
          </cell>
          <cell r="AF1065" t="str">
            <v>CALLAO</v>
          </cell>
        </row>
        <row r="1066">
          <cell r="C1066" t="str">
            <v>MF-262/20</v>
          </cell>
          <cell r="E1066" t="str">
            <v>YARATERA CALCINIT X 25KG</v>
          </cell>
          <cell r="F1066" t="str">
            <v>YARA PERÚ SRL</v>
          </cell>
          <cell r="P1066">
            <v>625</v>
          </cell>
          <cell r="R1066" t="str">
            <v>CFR</v>
          </cell>
          <cell r="S1066">
            <v>220.34</v>
          </cell>
          <cell r="Y1066">
            <v>44050</v>
          </cell>
          <cell r="AF1066" t="str">
            <v>CALLAO</v>
          </cell>
        </row>
        <row r="1067">
          <cell r="C1067" t="str">
            <v>MF-263/20</v>
          </cell>
          <cell r="E1067" t="str">
            <v>YARATERA CALCINIT X 25KG</v>
          </cell>
          <cell r="F1067" t="str">
            <v>YARA PERÚ SRL</v>
          </cell>
          <cell r="P1067">
            <v>600</v>
          </cell>
          <cell r="R1067" t="str">
            <v>CFR</v>
          </cell>
          <cell r="S1067">
            <v>220.34</v>
          </cell>
          <cell r="Y1067">
            <v>44050</v>
          </cell>
          <cell r="AF1067" t="str">
            <v>CALLAO</v>
          </cell>
        </row>
        <row r="1068">
          <cell r="C1068" t="str">
            <v>MF-264/20</v>
          </cell>
          <cell r="E1068" t="str">
            <v>YARATERA CALCINIT X 25KG</v>
          </cell>
          <cell r="F1068" t="str">
            <v>YARA PERÚ SRL</v>
          </cell>
          <cell r="P1068">
            <v>100</v>
          </cell>
          <cell r="R1068" t="str">
            <v>CFR</v>
          </cell>
          <cell r="S1068">
            <v>220.34</v>
          </cell>
          <cell r="Y1068">
            <v>44092</v>
          </cell>
          <cell r="AF1068" t="str">
            <v>MATARANI</v>
          </cell>
        </row>
        <row r="1069">
          <cell r="C1069" t="str">
            <v>MF-265A.1/20</v>
          </cell>
          <cell r="E1069" t="str">
            <v xml:space="preserve">SULFATO DE MAGNESIO HEPTAHIDRATADO </v>
          </cell>
          <cell r="F1069" t="str">
            <v>STAR GRACE MINING CO.,LTD</v>
          </cell>
          <cell r="P1069">
            <v>400.4</v>
          </cell>
          <cell r="R1069" t="str">
            <v>CFR</v>
          </cell>
          <cell r="S1069">
            <v>107</v>
          </cell>
          <cell r="Y1069">
            <v>44092</v>
          </cell>
          <cell r="AF1069" t="str">
            <v>PAITA</v>
          </cell>
        </row>
        <row r="1070">
          <cell r="C1070" t="str">
            <v>MF-265A.2/20</v>
          </cell>
          <cell r="E1070" t="str">
            <v xml:space="preserve">SULFATO DE MAGNESIO HEPTAHIDRATADO </v>
          </cell>
          <cell r="F1070" t="str">
            <v>STAR GRACE MINING CO.,LTD</v>
          </cell>
          <cell r="P1070">
            <v>314.60000000000002</v>
          </cell>
          <cell r="R1070" t="str">
            <v>CFR</v>
          </cell>
          <cell r="S1070">
            <v>107</v>
          </cell>
          <cell r="Y1070">
            <v>44099</v>
          </cell>
          <cell r="AF1070" t="str">
            <v>PAITA</v>
          </cell>
        </row>
        <row r="1071">
          <cell r="C1071" t="str">
            <v>MF-265A.3/20</v>
          </cell>
          <cell r="E1071" t="str">
            <v xml:space="preserve">SULFATO DE MAGNESIO HEPTAHIDRATADO </v>
          </cell>
          <cell r="F1071" t="str">
            <v>STAR GRACE MINING CO.,LTD</v>
          </cell>
          <cell r="P1071">
            <v>143</v>
          </cell>
          <cell r="R1071" t="str">
            <v>CFR</v>
          </cell>
          <cell r="S1071">
            <v>107</v>
          </cell>
          <cell r="Y1071">
            <v>44120</v>
          </cell>
          <cell r="AF1071" t="str">
            <v>PAITA</v>
          </cell>
        </row>
        <row r="1072">
          <cell r="C1072" t="str">
            <v>MF-265A.4/20</v>
          </cell>
          <cell r="E1072" t="str">
            <v xml:space="preserve">SULFATO DE MAGNESIO HEPTAHIDRATADO </v>
          </cell>
          <cell r="F1072" t="str">
            <v>STAR GRACE MINING CO.,LTD</v>
          </cell>
          <cell r="P1072">
            <v>143</v>
          </cell>
          <cell r="R1072" t="str">
            <v>CFR</v>
          </cell>
          <cell r="S1072">
            <v>107</v>
          </cell>
          <cell r="Y1072">
            <v>44138</v>
          </cell>
          <cell r="AF1072" t="str">
            <v>PAITA</v>
          </cell>
        </row>
        <row r="1073">
          <cell r="C1073" t="str">
            <v>MF-266A1/20</v>
          </cell>
          <cell r="E1073" t="str">
            <v>SULFATO DE POTASIO GRANULAR - FO PREMIUM</v>
          </cell>
          <cell r="F1073" t="str">
            <v>K+S Minerals and Agriculture GmbH</v>
          </cell>
          <cell r="P1073">
            <v>252.7</v>
          </cell>
          <cell r="R1073" t="str">
            <v>CFR</v>
          </cell>
          <cell r="S1073">
            <v>418</v>
          </cell>
          <cell r="Y1073">
            <v>44112</v>
          </cell>
          <cell r="AF1073" t="str">
            <v>CALLAO</v>
          </cell>
        </row>
        <row r="1074">
          <cell r="C1074" t="str">
            <v>MF-266B1.1/20</v>
          </cell>
          <cell r="E1074" t="str">
            <v>SULFATO DE POTASIO GRANULAR - FO PREMIUM</v>
          </cell>
          <cell r="F1074" t="str">
            <v>K+S Minerals and Agriculture GmbH</v>
          </cell>
          <cell r="P1074">
            <v>56.17</v>
          </cell>
          <cell r="R1074" t="str">
            <v>CFR</v>
          </cell>
          <cell r="S1074">
            <v>418</v>
          </cell>
          <cell r="Y1074">
            <v>44111</v>
          </cell>
          <cell r="AF1074" t="str">
            <v>PAITA</v>
          </cell>
        </row>
        <row r="1075">
          <cell r="C1075" t="str">
            <v>MF-266B1.2/20</v>
          </cell>
          <cell r="E1075" t="str">
            <v>SULFATO DE POTASIO GRANULAR - FO PREMIUM</v>
          </cell>
          <cell r="F1075" t="str">
            <v>K+S Minerals and Agriculture GmbH</v>
          </cell>
          <cell r="P1075">
            <v>84.24</v>
          </cell>
          <cell r="R1075" t="str">
            <v>CFR</v>
          </cell>
          <cell r="S1075">
            <v>418</v>
          </cell>
          <cell r="Y1075">
            <v>44118</v>
          </cell>
          <cell r="AF1075" t="str">
            <v>PAITA</v>
          </cell>
        </row>
        <row r="1076">
          <cell r="C1076" t="str">
            <v>MF-266A2/20</v>
          </cell>
          <cell r="E1076" t="str">
            <v>SULFATO DE POTASIO GRANULAR - FO PREMIUM</v>
          </cell>
          <cell r="F1076" t="str">
            <v>K+S Minerals and Agriculture GmbH</v>
          </cell>
          <cell r="P1076">
            <v>252.45</v>
          </cell>
          <cell r="R1076" t="str">
            <v>CFR</v>
          </cell>
          <cell r="S1076">
            <v>418</v>
          </cell>
          <cell r="Y1076">
            <v>44112</v>
          </cell>
          <cell r="AF1076" t="str">
            <v>CALLAO</v>
          </cell>
        </row>
        <row r="1077">
          <cell r="C1077" t="str">
            <v>MF-266B2/20</v>
          </cell>
          <cell r="E1077" t="str">
            <v>SULFATO DE POTASIO GRANULAR - FO PREMIUM</v>
          </cell>
          <cell r="F1077" t="str">
            <v>K+S Minerals and Agriculture GmbH</v>
          </cell>
          <cell r="P1077">
            <v>140.38999999999999</v>
          </cell>
          <cell r="R1077" t="str">
            <v>CFR</v>
          </cell>
          <cell r="S1077">
            <v>418</v>
          </cell>
          <cell r="Y1077">
            <v>44118</v>
          </cell>
          <cell r="AF1077" t="str">
            <v>PAITA</v>
          </cell>
        </row>
        <row r="1078">
          <cell r="C1078" t="str">
            <v>MF-267.1/20</v>
          </cell>
          <cell r="E1078" t="str">
            <v>ÁCIDO FOSFÓRICO</v>
          </cell>
          <cell r="F1078" t="str">
            <v>NEW CHINA CHEMICALS CO., LTD.</v>
          </cell>
          <cell r="P1078">
            <v>212.8</v>
          </cell>
          <cell r="R1078" t="str">
            <v>CIF</v>
          </cell>
          <cell r="S1078">
            <v>817</v>
          </cell>
          <cell r="Y1078">
            <v>44134</v>
          </cell>
          <cell r="AF1078" t="str">
            <v>PAITA</v>
          </cell>
        </row>
        <row r="1079">
          <cell r="C1079" t="str">
            <v>MF-267.2/20</v>
          </cell>
          <cell r="E1079" t="str">
            <v>ÁCIDO FOSFÓRICO</v>
          </cell>
          <cell r="F1079" t="str">
            <v>NEW CHINA CHEMICALS CO., LTD.</v>
          </cell>
          <cell r="P1079">
            <v>212.8</v>
          </cell>
          <cell r="R1079" t="str">
            <v>CIF</v>
          </cell>
          <cell r="S1079">
            <v>817</v>
          </cell>
          <cell r="Y1079">
            <v>44140</v>
          </cell>
          <cell r="AF1079" t="str">
            <v>PAITA</v>
          </cell>
        </row>
        <row r="1080">
          <cell r="C1080" t="str">
            <v>MF-268.1/20</v>
          </cell>
          <cell r="E1080" t="str">
            <v>ÁCIDO FOSFÓRICO</v>
          </cell>
          <cell r="F1080" t="str">
            <v>NEW CHINA CHEMICALS CO., LTD.</v>
          </cell>
          <cell r="P1080">
            <v>212.8</v>
          </cell>
          <cell r="R1080" t="str">
            <v>CIF</v>
          </cell>
          <cell r="S1080">
            <v>807</v>
          </cell>
          <cell r="Y1080">
            <v>44121</v>
          </cell>
          <cell r="AF1080" t="str">
            <v>CALLAO</v>
          </cell>
        </row>
        <row r="1081">
          <cell r="C1081" t="str">
            <v>MF-268.2/20</v>
          </cell>
          <cell r="E1081" t="str">
            <v>ÁCIDO FOSFÓRICO</v>
          </cell>
          <cell r="F1081" t="str">
            <v>NEW CHINA CHEMICALS CO., LTD.</v>
          </cell>
          <cell r="P1081">
            <v>212.8</v>
          </cell>
          <cell r="R1081" t="str">
            <v>CIF</v>
          </cell>
          <cell r="S1081">
            <v>807</v>
          </cell>
          <cell r="Y1081">
            <v>44149</v>
          </cell>
          <cell r="AF1081" t="str">
            <v>CALLAO</v>
          </cell>
        </row>
        <row r="1082">
          <cell r="C1082" t="str">
            <v>MF-269/20</v>
          </cell>
          <cell r="E1082" t="str">
            <v>SULFATO DE POTASIO SOLUBLE</v>
          </cell>
          <cell r="F1082" t="str">
            <v>AMEROPA</v>
          </cell>
          <cell r="P1082">
            <v>500</v>
          </cell>
          <cell r="R1082" t="str">
            <v>CFR</v>
          </cell>
          <cell r="S1082">
            <v>426.83</v>
          </cell>
          <cell r="Y1082">
            <v>44173</v>
          </cell>
          <cell r="AF1082" t="str">
            <v>PAITA</v>
          </cell>
        </row>
        <row r="1083">
          <cell r="C1083" t="str">
            <v>MF-270.1/20</v>
          </cell>
          <cell r="E1083" t="str">
            <v>SULFATO DE POTASIO SOLUBLE</v>
          </cell>
          <cell r="F1083" t="str">
            <v>AMEROPA</v>
          </cell>
          <cell r="P1083">
            <v>850</v>
          </cell>
          <cell r="R1083" t="str">
            <v>CFR</v>
          </cell>
          <cell r="S1083">
            <v>421.74</v>
          </cell>
          <cell r="Y1083">
            <v>44154</v>
          </cell>
          <cell r="AF1083" t="str">
            <v>CALLAO</v>
          </cell>
        </row>
        <row r="1084">
          <cell r="C1084" t="str">
            <v>MF-270.2/20</v>
          </cell>
          <cell r="E1084" t="str">
            <v>SULFATO DE POTASIO SOLUBLE</v>
          </cell>
          <cell r="F1084" t="str">
            <v>AMEROPA</v>
          </cell>
          <cell r="P1084">
            <v>0</v>
          </cell>
          <cell r="R1084">
            <v>0</v>
          </cell>
          <cell r="S1084">
            <v>0</v>
          </cell>
          <cell r="Y1084">
            <v>0</v>
          </cell>
          <cell r="AF1084">
            <v>0</v>
          </cell>
        </row>
        <row r="1085">
          <cell r="C1085" t="str">
            <v>MF-271A/20</v>
          </cell>
          <cell r="E1085" t="str">
            <v>NITRATO DE MAGNESIO HEXAHIDRATADO</v>
          </cell>
          <cell r="F1085" t="str">
            <v>STAR GRACE MINING CO.,LTD</v>
          </cell>
          <cell r="P1085">
            <v>143</v>
          </cell>
          <cell r="R1085" t="str">
            <v>CFR</v>
          </cell>
          <cell r="S1085">
            <v>233</v>
          </cell>
          <cell r="Y1085">
            <v>44120</v>
          </cell>
          <cell r="AF1085" t="str">
            <v>PAITA</v>
          </cell>
        </row>
        <row r="1086">
          <cell r="C1086" t="str">
            <v>MF-271B/20</v>
          </cell>
          <cell r="E1086" t="str">
            <v>NITRATO DE MAGNESIO HEXAHIDRATADO</v>
          </cell>
          <cell r="F1086" t="str">
            <v>STAR GRACE MINING CO.,LTD</v>
          </cell>
          <cell r="P1086">
            <v>85.8</v>
          </cell>
          <cell r="R1086" t="str">
            <v>CFR</v>
          </cell>
          <cell r="S1086">
            <v>233</v>
          </cell>
          <cell r="Y1086">
            <v>44140</v>
          </cell>
          <cell r="AF1086" t="str">
            <v>PAITA</v>
          </cell>
        </row>
        <row r="1087">
          <cell r="C1087" t="str">
            <v>MF-272.1.1/20</v>
          </cell>
          <cell r="E1087" t="str">
            <v>ÁCIDO FOSFÓRICO</v>
          </cell>
          <cell r="F1087" t="str">
            <v>NEW CHINA CHEMICALS CO., LTD.</v>
          </cell>
          <cell r="P1087">
            <v>212.8</v>
          </cell>
          <cell r="R1087" t="str">
            <v>CIF</v>
          </cell>
          <cell r="S1087">
            <v>807</v>
          </cell>
          <cell r="Y1087">
            <v>44163</v>
          </cell>
          <cell r="AF1087" t="str">
            <v>CALLAO</v>
          </cell>
        </row>
        <row r="1088">
          <cell r="C1088" t="str">
            <v>MF-272.1.2/20</v>
          </cell>
          <cell r="E1088" t="str">
            <v>ÁCIDO FOSFÓRICO</v>
          </cell>
          <cell r="F1088" t="str">
            <v>NEW CHINA CHEMICALS CO., LTD.</v>
          </cell>
          <cell r="P1088">
            <v>106.4</v>
          </cell>
          <cell r="R1088" t="str">
            <v>CIF</v>
          </cell>
          <cell r="S1088">
            <v>807</v>
          </cell>
          <cell r="Y1088">
            <v>44184</v>
          </cell>
          <cell r="AF1088" t="str">
            <v>CALLAO</v>
          </cell>
        </row>
        <row r="1089">
          <cell r="C1089" t="str">
            <v>MF-272.2.1/20</v>
          </cell>
          <cell r="E1089" t="str">
            <v>ÁCIDO FOSFÓRICO</v>
          </cell>
          <cell r="F1089" t="str">
            <v>NEW CHINA CHEMICALS CO., LTD.</v>
          </cell>
          <cell r="P1089">
            <v>53.2</v>
          </cell>
          <cell r="R1089" t="str">
            <v>CIF</v>
          </cell>
          <cell r="S1089">
            <v>807</v>
          </cell>
          <cell r="Y1089">
            <v>44198</v>
          </cell>
          <cell r="AF1089" t="str">
            <v>CALLAO</v>
          </cell>
        </row>
        <row r="1090">
          <cell r="C1090" t="str">
            <v>MF-272.2.2/20</v>
          </cell>
          <cell r="E1090" t="str">
            <v>ÁCIDO FOSFÓRICO</v>
          </cell>
          <cell r="F1090" t="str">
            <v>NEW CHINA CHEMICALS CO., LTD.</v>
          </cell>
          <cell r="P1090">
            <v>53.2</v>
          </cell>
          <cell r="R1090" t="str">
            <v>CIF</v>
          </cell>
          <cell r="S1090">
            <v>807</v>
          </cell>
          <cell r="Y1090">
            <v>44198</v>
          </cell>
          <cell r="AF1090" t="str">
            <v>CALLAO</v>
          </cell>
        </row>
        <row r="1091">
          <cell r="C1091" t="str">
            <v>MF-272.2.3/20</v>
          </cell>
          <cell r="E1091" t="str">
            <v>ÁCIDO FOSFÓRICO</v>
          </cell>
          <cell r="F1091" t="str">
            <v>NEW CHINA CHEMICALS CO., LTD.</v>
          </cell>
          <cell r="P1091">
            <v>0</v>
          </cell>
          <cell r="R1091">
            <v>0</v>
          </cell>
          <cell r="S1091">
            <v>0</v>
          </cell>
          <cell r="Y1091">
            <v>0</v>
          </cell>
          <cell r="AF1091">
            <v>0</v>
          </cell>
        </row>
        <row r="1092">
          <cell r="C1092" t="str">
            <v>MF-272.3.1/20</v>
          </cell>
          <cell r="E1092" t="str">
            <v>ÁCIDO FOSFÓRICO</v>
          </cell>
          <cell r="F1092" t="str">
            <v>NEW CHINA CHEMICALS CO., LTD.</v>
          </cell>
          <cell r="P1092">
            <v>106.4</v>
          </cell>
          <cell r="R1092" t="str">
            <v>CIF</v>
          </cell>
          <cell r="S1092">
            <v>807</v>
          </cell>
          <cell r="Y1092">
            <v>44254</v>
          </cell>
          <cell r="AF1092" t="str">
            <v>CALLAO</v>
          </cell>
        </row>
        <row r="1093">
          <cell r="C1093" t="str">
            <v>MF-272.3.2/20</v>
          </cell>
          <cell r="E1093" t="str">
            <v>ÁCIDO FOSFÓRICO</v>
          </cell>
          <cell r="F1093" t="str">
            <v>NEW CHINA CHEMICALS CO., LTD.</v>
          </cell>
          <cell r="P1093">
            <v>0</v>
          </cell>
          <cell r="R1093">
            <v>0</v>
          </cell>
          <cell r="S1093">
            <v>0</v>
          </cell>
          <cell r="Y1093">
            <v>0</v>
          </cell>
          <cell r="AF1093">
            <v>0</v>
          </cell>
        </row>
        <row r="1094">
          <cell r="C1094" t="str">
            <v>MF-273.1/20</v>
          </cell>
          <cell r="E1094" t="str">
            <v>ÁCIDO FOSFÓRICO</v>
          </cell>
          <cell r="F1094" t="str">
            <v>NEW CHINA CHEMICALS CO., LTD.</v>
          </cell>
          <cell r="P1094">
            <v>0</v>
          </cell>
          <cell r="R1094">
            <v>0</v>
          </cell>
          <cell r="S1094">
            <v>0</v>
          </cell>
          <cell r="Y1094">
            <v>0</v>
          </cell>
          <cell r="AF1094">
            <v>0</v>
          </cell>
        </row>
        <row r="1095">
          <cell r="C1095" t="str">
            <v>MF-273.2/20</v>
          </cell>
          <cell r="E1095" t="str">
            <v>ÁCIDO FOSFÓRICO</v>
          </cell>
          <cell r="F1095" t="str">
            <v>NEW CHINA CHEMICALS CO., LTD.</v>
          </cell>
          <cell r="P1095">
            <v>0</v>
          </cell>
          <cell r="R1095">
            <v>0</v>
          </cell>
          <cell r="S1095">
            <v>0</v>
          </cell>
          <cell r="Y1095">
            <v>0</v>
          </cell>
          <cell r="AF1095">
            <v>0</v>
          </cell>
        </row>
        <row r="1096">
          <cell r="C1096" t="str">
            <v>MF-273.3/20</v>
          </cell>
          <cell r="E1096" t="str">
            <v>ÁCIDO FOSFÓRICO</v>
          </cell>
          <cell r="F1096" t="str">
            <v>NEW CHINA CHEMICALS CO., LTD.</v>
          </cell>
          <cell r="P1096">
            <v>0</v>
          </cell>
          <cell r="R1096">
            <v>0</v>
          </cell>
          <cell r="S1096">
            <v>0</v>
          </cell>
          <cell r="Y1096">
            <v>0</v>
          </cell>
          <cell r="AF1096">
            <v>0</v>
          </cell>
        </row>
        <row r="1097">
          <cell r="C1097" t="str">
            <v>MF-274/20</v>
          </cell>
          <cell r="E1097" t="str">
            <v>ÁCIDO FOSFÓRICO</v>
          </cell>
          <cell r="F1097" t="str">
            <v>NEW CHINA CHEMICALS CO., LTD.</v>
          </cell>
          <cell r="P1097">
            <v>186.2</v>
          </cell>
          <cell r="R1097" t="str">
            <v>CIF</v>
          </cell>
          <cell r="S1097">
            <v>837</v>
          </cell>
          <cell r="Y1097">
            <v>44152</v>
          </cell>
          <cell r="AF1097" t="str">
            <v>MATARANI</v>
          </cell>
        </row>
        <row r="1098">
          <cell r="C1098" t="str">
            <v>MF-275.1/20</v>
          </cell>
          <cell r="E1098" t="str">
            <v>SULFATO DE POTASIO SOLUBLE</v>
          </cell>
          <cell r="F1098" t="str">
            <v>INDAGRO</v>
          </cell>
          <cell r="P1098">
            <v>264</v>
          </cell>
          <cell r="R1098" t="str">
            <v>CPT</v>
          </cell>
          <cell r="S1098">
            <v>412.29</v>
          </cell>
          <cell r="Y1098">
            <v>44146</v>
          </cell>
          <cell r="AF1098" t="str">
            <v>CALLAO</v>
          </cell>
        </row>
        <row r="1099">
          <cell r="C1099" t="str">
            <v>MF-275.2/20</v>
          </cell>
          <cell r="E1099" t="str">
            <v>SULFATO DE POTASIO SOLUBLE</v>
          </cell>
          <cell r="F1099" t="str">
            <v>INDAGRO</v>
          </cell>
          <cell r="P1099">
            <v>240</v>
          </cell>
          <cell r="R1099" t="str">
            <v>CPT</v>
          </cell>
          <cell r="S1099">
            <v>412.29</v>
          </cell>
          <cell r="Y1099">
            <v>44153</v>
          </cell>
          <cell r="AF1099" t="str">
            <v>CALLAO</v>
          </cell>
        </row>
        <row r="1100">
          <cell r="C1100" t="str">
            <v>MF-276.1/20</v>
          </cell>
          <cell r="E1100" t="str">
            <v>SULFATO DE POTASIO SOLUBLE</v>
          </cell>
          <cell r="F1100" t="str">
            <v>INDAGRO</v>
          </cell>
          <cell r="P1100">
            <v>408</v>
          </cell>
          <cell r="R1100" t="str">
            <v>CPT</v>
          </cell>
          <cell r="S1100">
            <v>417.38</v>
          </cell>
          <cell r="Y1100">
            <v>44147</v>
          </cell>
          <cell r="AF1100" t="str">
            <v>PAITA</v>
          </cell>
        </row>
        <row r="1101">
          <cell r="C1101" t="str">
            <v>MF-276.2/20</v>
          </cell>
          <cell r="E1101" t="str">
            <v>SULFATO DE POTASIO SOLUBLE</v>
          </cell>
          <cell r="F1101" t="str">
            <v>INDAGRO</v>
          </cell>
          <cell r="P1101">
            <v>408</v>
          </cell>
          <cell r="R1101" t="str">
            <v>CPT</v>
          </cell>
          <cell r="S1101">
            <v>417.38</v>
          </cell>
          <cell r="Y1101">
            <v>44161</v>
          </cell>
          <cell r="AF1101" t="str">
            <v>PAITA</v>
          </cell>
        </row>
        <row r="1102">
          <cell r="C1102" t="str">
            <v>MF-276.3/20</v>
          </cell>
          <cell r="E1102" t="str">
            <v>SULFATO DE POTASIO SOLUBLE</v>
          </cell>
          <cell r="F1102" t="str">
            <v>INDAGRO</v>
          </cell>
          <cell r="P1102">
            <v>192</v>
          </cell>
          <cell r="R1102" t="str">
            <v>CPT</v>
          </cell>
          <cell r="S1102">
            <v>417.38</v>
          </cell>
          <cell r="Y1102">
            <v>44183</v>
          </cell>
          <cell r="AF1102" t="str">
            <v>PAITA</v>
          </cell>
        </row>
        <row r="1103">
          <cell r="C1103" t="str">
            <v>MF-277/20</v>
          </cell>
          <cell r="E1103" t="str">
            <v>NITRATO DE POTASIO CRISTALIZADO</v>
          </cell>
          <cell r="F1103" t="str">
            <v>WEGROW AG</v>
          </cell>
          <cell r="P1103">
            <v>216</v>
          </cell>
          <cell r="R1103" t="str">
            <v>CPT</v>
          </cell>
          <cell r="S1103">
            <v>643.5</v>
          </cell>
          <cell r="Y1103">
            <v>44104</v>
          </cell>
          <cell r="AF1103" t="str">
            <v>PAITA</v>
          </cell>
        </row>
        <row r="1104">
          <cell r="C1104" t="str">
            <v>MF-278/20</v>
          </cell>
          <cell r="E1104" t="str">
            <v>YARALIVA NITRABOR A GRANEL</v>
          </cell>
          <cell r="F1104" t="str">
            <v>YARA PERÚ SRL</v>
          </cell>
          <cell r="P1104">
            <v>159.79</v>
          </cell>
          <cell r="R1104" t="str">
            <v>CFR</v>
          </cell>
          <cell r="S1104">
            <v>272.95</v>
          </cell>
          <cell r="Y1104">
            <v>44097</v>
          </cell>
          <cell r="AF1104" t="str">
            <v>PAITA</v>
          </cell>
        </row>
        <row r="1105">
          <cell r="C1105" t="str">
            <v>MF-279.1/20</v>
          </cell>
          <cell r="E1105" t="str">
            <v>YARALIVA NITRABOR A GRANEL</v>
          </cell>
          <cell r="F1105" t="str">
            <v>YARA PERÚ SRL</v>
          </cell>
          <cell r="P1105">
            <v>133.15</v>
          </cell>
          <cell r="R1105" t="str">
            <v>CFR</v>
          </cell>
          <cell r="S1105">
            <v>270.83</v>
          </cell>
          <cell r="Y1105">
            <v>44092</v>
          </cell>
          <cell r="AF1105" t="str">
            <v>CALLAO</v>
          </cell>
        </row>
        <row r="1106">
          <cell r="C1106" t="str">
            <v>MF-279.2/20</v>
          </cell>
          <cell r="E1106" t="str">
            <v>YARALIVA NITRABOR A GRANEL</v>
          </cell>
          <cell r="F1106" t="str">
            <v>YARA PERÚ SRL</v>
          </cell>
          <cell r="P1106">
            <v>79.89</v>
          </cell>
          <cell r="R1106" t="str">
            <v>CFR</v>
          </cell>
          <cell r="S1106">
            <v>270.83</v>
          </cell>
          <cell r="Y1106">
            <v>44099</v>
          </cell>
          <cell r="AF1106" t="str">
            <v>CALLAO</v>
          </cell>
        </row>
        <row r="1107">
          <cell r="C1107" t="str">
            <v>MF-280/20</v>
          </cell>
          <cell r="E1107" t="str">
            <v>YARALIVA NITRABOR A GRANEL</v>
          </cell>
          <cell r="F1107" t="str">
            <v>YARA PERÚ SRL</v>
          </cell>
          <cell r="P1107">
            <v>213.64</v>
          </cell>
          <cell r="R1107" t="str">
            <v>CFR</v>
          </cell>
          <cell r="S1107">
            <v>298.72000000000003</v>
          </cell>
          <cell r="Y1107">
            <v>44119</v>
          </cell>
          <cell r="AF1107" t="str">
            <v>MATARANI</v>
          </cell>
        </row>
        <row r="1108">
          <cell r="C1108" t="str">
            <v>MF-281/20</v>
          </cell>
          <cell r="E1108" t="str">
            <v>YARALIVA NITRABOR A GRANEL</v>
          </cell>
          <cell r="F1108" t="str">
            <v>YARA PERÚ SRL</v>
          </cell>
          <cell r="P1108">
            <v>185.86500000000001</v>
          </cell>
          <cell r="R1108" t="str">
            <v>CFR</v>
          </cell>
          <cell r="S1108">
            <v>274.68</v>
          </cell>
          <cell r="Y1108">
            <v>44090</v>
          </cell>
          <cell r="AF1108" t="str">
            <v>PAITA</v>
          </cell>
        </row>
        <row r="1109">
          <cell r="C1109" t="str">
            <v>MF-282.1/20</v>
          </cell>
          <cell r="E1109" t="str">
            <v>YARALIVA NITRABOR A GRANEL</v>
          </cell>
          <cell r="F1109" t="str">
            <v>YARA PERÚ SRL</v>
          </cell>
          <cell r="P1109">
            <v>266.75</v>
          </cell>
          <cell r="R1109" t="str">
            <v>CFR</v>
          </cell>
          <cell r="S1109">
            <v>272.29000000000002</v>
          </cell>
          <cell r="Y1109">
            <v>44092</v>
          </cell>
          <cell r="AF1109" t="str">
            <v>CALLAO</v>
          </cell>
        </row>
        <row r="1110">
          <cell r="C1110" t="str">
            <v>MF-282.2/20</v>
          </cell>
          <cell r="E1110" t="str">
            <v>YARALIVA NITRABOR A GRANEL</v>
          </cell>
          <cell r="F1110" t="str">
            <v>YARA PERÚ SRL</v>
          </cell>
          <cell r="P1110">
            <v>26.675000000000001</v>
          </cell>
          <cell r="R1110" t="str">
            <v>CFR</v>
          </cell>
          <cell r="S1110">
            <v>272.29000000000002</v>
          </cell>
          <cell r="Y1110">
            <v>44099</v>
          </cell>
          <cell r="AF1110" t="str">
            <v>CALLAO</v>
          </cell>
        </row>
        <row r="1111">
          <cell r="C1111" t="str">
            <v>MF-283.1/20</v>
          </cell>
          <cell r="E1111" t="str">
            <v>YARALIVA NITRABOR A GRANEL</v>
          </cell>
          <cell r="F1111" t="str">
            <v>YARA PERÚ SRL</v>
          </cell>
          <cell r="P1111">
            <v>79.275000000000006</v>
          </cell>
          <cell r="R1111" t="str">
            <v>CFR</v>
          </cell>
          <cell r="S1111">
            <v>301.95999999999998</v>
          </cell>
          <cell r="Y1111">
            <v>44119</v>
          </cell>
          <cell r="AF1111" t="str">
            <v>MATARANI</v>
          </cell>
        </row>
        <row r="1112">
          <cell r="C1112" t="str">
            <v>MF-283.2/20</v>
          </cell>
          <cell r="E1112" t="str">
            <v>YARALIVA NITRABOR A GRANEL</v>
          </cell>
          <cell r="F1112" t="str">
            <v>YARA PERÚ SRL</v>
          </cell>
          <cell r="P1112">
            <v>26.425000000000001</v>
          </cell>
          <cell r="R1112" t="str">
            <v>CFR</v>
          </cell>
          <cell r="S1112">
            <v>301.95999999999998</v>
          </cell>
          <cell r="Y1112">
            <v>44119</v>
          </cell>
          <cell r="AF1112" t="str">
            <v>MATARANI</v>
          </cell>
        </row>
        <row r="1113">
          <cell r="C1113" t="str">
            <v>MF-284/20</v>
          </cell>
          <cell r="E1113" t="str">
            <v>YARAMILA COMPLEX</v>
          </cell>
          <cell r="F1113" t="str">
            <v>YARA PERÚ SRL</v>
          </cell>
          <cell r="P1113">
            <v>401.48500000000001</v>
          </cell>
          <cell r="R1113" t="str">
            <v>CFR</v>
          </cell>
          <cell r="S1113">
            <v>532.55999999999995</v>
          </cell>
          <cell r="Y1113">
            <v>44119</v>
          </cell>
          <cell r="AF1113" t="str">
            <v>MATARANI</v>
          </cell>
        </row>
        <row r="1114">
          <cell r="C1114" t="str">
            <v>MF-285/20</v>
          </cell>
          <cell r="E1114" t="str">
            <v>YARATERA CALCINIT X 25KG</v>
          </cell>
          <cell r="F1114" t="str">
            <v>YARA PERÚ SRL</v>
          </cell>
          <cell r="P1114">
            <v>50</v>
          </cell>
          <cell r="R1114" t="str">
            <v>CFR</v>
          </cell>
          <cell r="S1114">
            <v>235.1</v>
          </cell>
          <cell r="Y1114">
            <v>44098</v>
          </cell>
          <cell r="AF1114" t="str">
            <v>MATARANI</v>
          </cell>
        </row>
        <row r="1115">
          <cell r="C1115" t="str">
            <v>MF-286/20</v>
          </cell>
          <cell r="E1115" t="str">
            <v>YARATERA CALCINIT X 25KG</v>
          </cell>
          <cell r="F1115" t="str">
            <v>YARA PERÚ SRL</v>
          </cell>
          <cell r="P1115">
            <v>600</v>
          </cell>
          <cell r="R1115" t="str">
            <v>CFR</v>
          </cell>
          <cell r="S1115">
            <v>249.9</v>
          </cell>
          <cell r="Y1115">
            <v>44078</v>
          </cell>
          <cell r="AF1115" t="str">
            <v>CALLAO</v>
          </cell>
        </row>
        <row r="1116">
          <cell r="C1116" t="str">
            <v>MF-287/20</v>
          </cell>
          <cell r="E1116" t="str">
            <v>YARAMILA HYDRAN</v>
          </cell>
          <cell r="F1116" t="str">
            <v>YARA PERÚ SRL</v>
          </cell>
          <cell r="P1116">
            <v>802.95</v>
          </cell>
          <cell r="R1116" t="str">
            <v>CFR</v>
          </cell>
          <cell r="S1116">
            <v>362.84</v>
          </cell>
          <cell r="Y1116">
            <v>44104</v>
          </cell>
          <cell r="AF1116" t="str">
            <v>PAITA</v>
          </cell>
        </row>
        <row r="1117">
          <cell r="C1117" t="str">
            <v>MF-288/20</v>
          </cell>
          <cell r="E1117" t="str">
            <v>YARAMILA HYDRAN</v>
          </cell>
          <cell r="F1117" t="str">
            <v>YARA PERÚ SRL</v>
          </cell>
          <cell r="P1117">
            <v>401.52499999999998</v>
          </cell>
          <cell r="R1117" t="str">
            <v>CFR</v>
          </cell>
          <cell r="S1117">
            <v>360.68</v>
          </cell>
          <cell r="Y1117">
            <v>44106</v>
          </cell>
          <cell r="AF1117" t="str">
            <v>CALLAO</v>
          </cell>
        </row>
        <row r="1118">
          <cell r="C1118" t="str">
            <v>MF-289/20</v>
          </cell>
          <cell r="E1118" t="str">
            <v>YARATERA CALCINIT X 25KG</v>
          </cell>
          <cell r="F1118" t="str">
            <v>YARA PERÚ SRL</v>
          </cell>
          <cell r="P1118">
            <v>400</v>
          </cell>
          <cell r="R1118" t="str">
            <v>CFR</v>
          </cell>
          <cell r="S1118">
            <v>235.1</v>
          </cell>
          <cell r="Y1118">
            <v>44083</v>
          </cell>
          <cell r="AF1118" t="str">
            <v>PAITA</v>
          </cell>
        </row>
        <row r="1119">
          <cell r="C1119" t="str">
            <v>MF-290/20</v>
          </cell>
          <cell r="E1119" t="str">
            <v>YARATERA CALCINIT X 25KG</v>
          </cell>
          <cell r="F1119" t="str">
            <v>YARA PERÚ SRL</v>
          </cell>
          <cell r="P1119">
            <v>575</v>
          </cell>
          <cell r="R1119" t="str">
            <v>CFR</v>
          </cell>
          <cell r="S1119">
            <v>235.1</v>
          </cell>
          <cell r="Y1119">
            <v>44084</v>
          </cell>
          <cell r="AF1119" t="str">
            <v>CALLAO</v>
          </cell>
        </row>
        <row r="1120">
          <cell r="C1120" t="str">
            <v>MF-291/20</v>
          </cell>
          <cell r="E1120" t="str">
            <v>YARATERA CALCINIT X 25KG</v>
          </cell>
          <cell r="F1120" t="str">
            <v>YARA PERÚ SRL</v>
          </cell>
          <cell r="P1120">
            <v>575</v>
          </cell>
          <cell r="R1120" t="str">
            <v>CFR</v>
          </cell>
          <cell r="S1120">
            <v>235.1</v>
          </cell>
          <cell r="Y1120">
            <v>44092</v>
          </cell>
          <cell r="AF1120" t="str">
            <v>CALLAO</v>
          </cell>
        </row>
        <row r="1121">
          <cell r="C1121" t="str">
            <v>MF-292/20</v>
          </cell>
          <cell r="E1121" t="str">
            <v>YARATERA CALCINIT X 25KG</v>
          </cell>
          <cell r="F1121" t="str">
            <v>YARA PERÚ SRL</v>
          </cell>
          <cell r="P1121">
            <v>50</v>
          </cell>
          <cell r="R1121" t="str">
            <v>CFR</v>
          </cell>
          <cell r="S1121">
            <v>249.9</v>
          </cell>
          <cell r="Y1121">
            <v>44092</v>
          </cell>
          <cell r="AF1121" t="str">
            <v>MATARANI</v>
          </cell>
        </row>
        <row r="1122">
          <cell r="C1122" t="str">
            <v>MF-293/20</v>
          </cell>
          <cell r="E1122" t="str">
            <v>YARAMILA KABAL PLUS NPK 10-30-10 X50KG</v>
          </cell>
          <cell r="F1122" t="str">
            <v>YARA PERÚ SRL</v>
          </cell>
          <cell r="P1122">
            <v>748</v>
          </cell>
          <cell r="R1122" t="str">
            <v>CFR</v>
          </cell>
          <cell r="S1122">
            <v>372</v>
          </cell>
          <cell r="Y1122">
            <v>44092</v>
          </cell>
          <cell r="AF1122" t="str">
            <v>MATARANI</v>
          </cell>
        </row>
        <row r="1123">
          <cell r="C1123" t="str">
            <v>MF-294/20</v>
          </cell>
          <cell r="E1123" t="str">
            <v>YARAMILA COMPLEX</v>
          </cell>
          <cell r="F1123" t="str">
            <v>YARA PERÚ SRL</v>
          </cell>
          <cell r="P1123">
            <v>588.97</v>
          </cell>
          <cell r="R1123" t="str">
            <v>CFR</v>
          </cell>
          <cell r="S1123">
            <v>503.9799989</v>
          </cell>
          <cell r="Y1123">
            <v>44099</v>
          </cell>
          <cell r="AF1123" t="str">
            <v>CALLAO</v>
          </cell>
        </row>
        <row r="1124">
          <cell r="C1124" t="str">
            <v>MF-295A/20</v>
          </cell>
          <cell r="E1124" t="str">
            <v>SULFATO DE AMONIO ESTÁNDAR</v>
          </cell>
          <cell r="F1124" t="str">
            <v>AMEROPA</v>
          </cell>
          <cell r="P1124">
            <v>4000</v>
          </cell>
          <cell r="R1124" t="str">
            <v>CIF</v>
          </cell>
          <cell r="S1124">
            <v>137.25</v>
          </cell>
          <cell r="Y1124">
            <v>44153</v>
          </cell>
          <cell r="AF1124" t="str">
            <v>PAITA</v>
          </cell>
        </row>
        <row r="1125">
          <cell r="C1125" t="str">
            <v>MF-295B/20</v>
          </cell>
          <cell r="E1125" t="str">
            <v>SULFATO DE AMONIO ESTÁNDAR</v>
          </cell>
          <cell r="F1125" t="str">
            <v>AMEROPA</v>
          </cell>
          <cell r="P1125">
            <v>2250</v>
          </cell>
          <cell r="R1125" t="str">
            <v>CIF</v>
          </cell>
          <cell r="S1125">
            <v>137.25</v>
          </cell>
          <cell r="Y1125">
            <v>44156</v>
          </cell>
          <cell r="AF1125" t="str">
            <v>SALAVERRY</v>
          </cell>
        </row>
        <row r="1126">
          <cell r="C1126" t="str">
            <v>MF-295C/20</v>
          </cell>
          <cell r="E1126" t="str">
            <v>SULFATO DE AMONIO ESTÁNDAR</v>
          </cell>
          <cell r="F1126" t="str">
            <v>AMEROPA</v>
          </cell>
          <cell r="P1126">
            <v>1000</v>
          </cell>
          <cell r="R1126" t="str">
            <v>CIF</v>
          </cell>
          <cell r="S1126">
            <v>137.25</v>
          </cell>
          <cell r="Y1126">
            <v>44161</v>
          </cell>
          <cell r="AF1126" t="str">
            <v>CALLAO</v>
          </cell>
        </row>
        <row r="1127">
          <cell r="C1127" t="str">
            <v>MF-295D/20</v>
          </cell>
          <cell r="E1127" t="str">
            <v>SULFATO DE AMONIO ESTÁNDAR</v>
          </cell>
          <cell r="F1127" t="str">
            <v>AMEROPA</v>
          </cell>
          <cell r="P1127">
            <v>120</v>
          </cell>
          <cell r="R1127" t="str">
            <v>CIF</v>
          </cell>
          <cell r="S1127">
            <v>137.25</v>
          </cell>
          <cell r="Y1127">
            <v>44163</v>
          </cell>
          <cell r="AF1127" t="str">
            <v>PISCO</v>
          </cell>
        </row>
        <row r="1128">
          <cell r="C1128" t="str">
            <v>MF-295E/20</v>
          </cell>
          <cell r="E1128" t="str">
            <v>SULFATO DE AMONIO ESTÁNDAR</v>
          </cell>
          <cell r="F1128" t="str">
            <v>AMEROPA</v>
          </cell>
          <cell r="P1128">
            <v>330</v>
          </cell>
          <cell r="R1128" t="str">
            <v>CIF</v>
          </cell>
          <cell r="S1128">
            <v>137.25</v>
          </cell>
          <cell r="Y1128">
            <v>44167</v>
          </cell>
          <cell r="AF1128" t="str">
            <v>MATARANI</v>
          </cell>
        </row>
        <row r="1129">
          <cell r="C1129" t="str">
            <v>MF-296A/20</v>
          </cell>
          <cell r="E1129" t="str">
            <v>FOSFATO DIAMÓNICO GRANULAR</v>
          </cell>
          <cell r="F1129" t="str">
            <v>AMEROPA</v>
          </cell>
          <cell r="P1129">
            <v>400</v>
          </cell>
          <cell r="R1129" t="str">
            <v>CIF</v>
          </cell>
          <cell r="S1129">
            <v>361.75</v>
          </cell>
          <cell r="Y1129">
            <v>44153</v>
          </cell>
          <cell r="AF1129" t="str">
            <v>PAITA</v>
          </cell>
        </row>
        <row r="1130">
          <cell r="C1130" t="str">
            <v>MF-296B/20</v>
          </cell>
          <cell r="E1130" t="str">
            <v>FOSFATO DIAMÓNICO GRANULAR</v>
          </cell>
          <cell r="F1130" t="str">
            <v>AMEROPA</v>
          </cell>
          <cell r="P1130">
            <v>700</v>
          </cell>
          <cell r="R1130" t="str">
            <v>CIF</v>
          </cell>
          <cell r="S1130">
            <v>361.75</v>
          </cell>
          <cell r="Y1130">
            <v>44156</v>
          </cell>
          <cell r="AF1130" t="str">
            <v>SALAVERRY</v>
          </cell>
        </row>
        <row r="1131">
          <cell r="C1131" t="str">
            <v>MF-296C/20</v>
          </cell>
          <cell r="E1131" t="str">
            <v>FOSFATO DIAMÓNICO GRANULAR</v>
          </cell>
          <cell r="F1131" t="str">
            <v>AMEROPA</v>
          </cell>
          <cell r="P1131">
            <v>2710</v>
          </cell>
          <cell r="R1131" t="str">
            <v>CIF</v>
          </cell>
          <cell r="S1131">
            <v>361.75</v>
          </cell>
          <cell r="Y1131">
            <v>44161</v>
          </cell>
          <cell r="AF1131" t="str">
            <v>CALLAO</v>
          </cell>
        </row>
        <row r="1132">
          <cell r="C1132" t="str">
            <v>MF-296D/20</v>
          </cell>
          <cell r="E1132" t="str">
            <v>FOSFATO DIAMÓNICO GRANULAR</v>
          </cell>
          <cell r="F1132" t="str">
            <v>AMEROPA</v>
          </cell>
          <cell r="P1132">
            <v>90</v>
          </cell>
          <cell r="R1132" t="str">
            <v>CIF</v>
          </cell>
          <cell r="S1132">
            <v>361.75</v>
          </cell>
          <cell r="Y1132">
            <v>44163</v>
          </cell>
          <cell r="AF1132" t="str">
            <v>PISCO</v>
          </cell>
        </row>
        <row r="1133">
          <cell r="C1133" t="str">
            <v>MF-296E/20</v>
          </cell>
          <cell r="E1133" t="str">
            <v>FOSFATO DIAMÓNICO GRANULAR</v>
          </cell>
          <cell r="F1133" t="str">
            <v>AMEROPA</v>
          </cell>
          <cell r="P1133">
            <v>1600</v>
          </cell>
          <cell r="R1133" t="str">
            <v>CIF</v>
          </cell>
          <cell r="S1133">
            <v>361.75</v>
          </cell>
          <cell r="Y1133">
            <v>44167</v>
          </cell>
          <cell r="AF1133" t="str">
            <v>MATARANI</v>
          </cell>
        </row>
        <row r="1134">
          <cell r="C1134" t="str">
            <v>MF-297A/20</v>
          </cell>
          <cell r="E1134" t="str">
            <v>SULFATO DE AMONIO BLANCO GRANULAR</v>
          </cell>
          <cell r="F1134" t="str">
            <v>AMEROPA</v>
          </cell>
          <cell r="P1134">
            <v>500.4</v>
          </cell>
          <cell r="R1134" t="str">
            <v>CFR</v>
          </cell>
          <cell r="S1134">
            <v>172</v>
          </cell>
          <cell r="Y1134">
            <v>44153</v>
          </cell>
          <cell r="AF1134" t="str">
            <v>PAITA</v>
          </cell>
        </row>
        <row r="1135">
          <cell r="C1135" t="str">
            <v>MF-297B/20</v>
          </cell>
          <cell r="E1135" t="str">
            <v>SULFATO DE AMONIO BLANCO GRANULAR</v>
          </cell>
          <cell r="F1135" t="str">
            <v>AMEROPA</v>
          </cell>
          <cell r="P1135">
            <v>300</v>
          </cell>
          <cell r="R1135" t="str">
            <v>CFR</v>
          </cell>
          <cell r="S1135">
            <v>172</v>
          </cell>
          <cell r="Y1135">
            <v>44156</v>
          </cell>
          <cell r="AF1135" t="str">
            <v>SALAVERRY</v>
          </cell>
        </row>
        <row r="1136">
          <cell r="C1136" t="str">
            <v>MF-297C/20</v>
          </cell>
          <cell r="E1136" t="str">
            <v>SULFATO DE AMONIO BLANCO GRANULAR</v>
          </cell>
          <cell r="F1136" t="str">
            <v>AMEROPA</v>
          </cell>
          <cell r="P1136">
            <v>100.8</v>
          </cell>
          <cell r="R1136" t="str">
            <v>CFR</v>
          </cell>
          <cell r="S1136">
            <v>172</v>
          </cell>
          <cell r="Y1136">
            <v>44161</v>
          </cell>
          <cell r="AF1136" t="str">
            <v>CALLAO</v>
          </cell>
        </row>
        <row r="1137">
          <cell r="C1137" t="str">
            <v>MF-297D/20</v>
          </cell>
          <cell r="E1137" t="str">
            <v>SULFATO DE AMONIO BLANCO GRANULAR</v>
          </cell>
          <cell r="F1137" t="str">
            <v>AMEROPA</v>
          </cell>
          <cell r="P1137">
            <v>99.6</v>
          </cell>
          <cell r="R1137" t="str">
            <v>CFR</v>
          </cell>
          <cell r="S1137">
            <v>172</v>
          </cell>
          <cell r="Y1137">
            <v>44163</v>
          </cell>
          <cell r="AF1137" t="str">
            <v>PISCO</v>
          </cell>
        </row>
        <row r="1138">
          <cell r="C1138" t="str">
            <v>MF-298/20</v>
          </cell>
          <cell r="E1138" t="str">
            <v>SULFATO DE MAGNESIO HEPTAHIDRATADO ORG X 25KG - EPSOTOP</v>
          </cell>
          <cell r="F1138" t="str">
            <v>K+S Minerals and Agriculture GmbH</v>
          </cell>
          <cell r="P1138">
            <v>21</v>
          </cell>
          <cell r="R1138" t="str">
            <v>CPT</v>
          </cell>
          <cell r="S1138">
            <v>310</v>
          </cell>
          <cell r="Y1138">
            <v>44120</v>
          </cell>
          <cell r="AF1138" t="str">
            <v>CALLAO</v>
          </cell>
        </row>
        <row r="1139">
          <cell r="C1139" t="str">
            <v>MF-299/20</v>
          </cell>
          <cell r="E1139" t="str">
            <v>SULFATO DE MAGNESIO HEPTAHIDRATADO ORG X 25KG - EPSOTOP</v>
          </cell>
          <cell r="F1139" t="str">
            <v>K+S Minerals and Agriculture GmbH</v>
          </cell>
          <cell r="P1139">
            <v>63</v>
          </cell>
          <cell r="R1139" t="str">
            <v>CPT</v>
          </cell>
          <cell r="S1139">
            <v>315</v>
          </cell>
          <cell r="Y1139">
            <v>44118</v>
          </cell>
          <cell r="AF1139" t="str">
            <v>PAITA</v>
          </cell>
        </row>
        <row r="1140">
          <cell r="C1140" t="str">
            <v>MF-300/20</v>
          </cell>
          <cell r="E1140" t="str">
            <v>NITRATO DE MAGNESIO HEXAHIDRATADO</v>
          </cell>
          <cell r="F1140" t="str">
            <v>MITSUI &amp; CO., Ltda</v>
          </cell>
          <cell r="P1140">
            <v>165</v>
          </cell>
          <cell r="R1140" t="str">
            <v>CFR</v>
          </cell>
          <cell r="S1140">
            <v>225</v>
          </cell>
          <cell r="Y1140">
            <v>44161</v>
          </cell>
          <cell r="AF1140" t="str">
            <v>CALLAO</v>
          </cell>
        </row>
        <row r="1141">
          <cell r="C1141" t="str">
            <v>MF-301/20</v>
          </cell>
          <cell r="E1141" t="str">
            <v xml:space="preserve">SULFATO DE MAGNESIO HEPTAHIDRATADO </v>
          </cell>
          <cell r="F1141" t="str">
            <v>YARA SWITZERLAND LTD</v>
          </cell>
          <cell r="P1141">
            <v>708</v>
          </cell>
          <cell r="R1141" t="str">
            <v>CFR</v>
          </cell>
          <cell r="S1141">
            <v>118</v>
          </cell>
          <cell r="Y1141">
            <v>44162</v>
          </cell>
          <cell r="AF1141" t="str">
            <v>PAITA</v>
          </cell>
        </row>
        <row r="1142">
          <cell r="C1142" t="str">
            <v>MF-302A/20</v>
          </cell>
          <cell r="E1142" t="str">
            <v>FOSFATO MONOAMÓNICO CRISTALIZADO</v>
          </cell>
          <cell r="F1142" t="str">
            <v>AMEROPA</v>
          </cell>
          <cell r="P1142">
            <v>200</v>
          </cell>
          <cell r="R1142" t="str">
            <v>CFR</v>
          </cell>
          <cell r="S1142">
            <v>585</v>
          </cell>
          <cell r="Y1142">
            <v>44153</v>
          </cell>
          <cell r="AF1142" t="str">
            <v>PAITA</v>
          </cell>
        </row>
        <row r="1143">
          <cell r="C1143" t="str">
            <v>MF-302B/20</v>
          </cell>
          <cell r="E1143" t="str">
            <v>FOSFATO MONOAMÓNICO CRISTALIZADO</v>
          </cell>
          <cell r="F1143" t="str">
            <v>AMEROPA</v>
          </cell>
          <cell r="P1143">
            <v>300</v>
          </cell>
          <cell r="R1143" t="str">
            <v>CFR</v>
          </cell>
          <cell r="S1143">
            <v>585</v>
          </cell>
          <cell r="Y1143">
            <v>44156</v>
          </cell>
          <cell r="AF1143" t="str">
            <v>SALAVERRY</v>
          </cell>
        </row>
        <row r="1144">
          <cell r="C1144" t="str">
            <v>MF-302C/20</v>
          </cell>
          <cell r="E1144" t="str">
            <v>FOSFATO MONOAMÓNICO CRISTALIZADO</v>
          </cell>
          <cell r="F1144" t="str">
            <v>AMEROPA</v>
          </cell>
          <cell r="P1144">
            <v>200</v>
          </cell>
          <cell r="R1144" t="str">
            <v>CFR</v>
          </cell>
          <cell r="S1144">
            <v>585</v>
          </cell>
          <cell r="Y1144">
            <v>44163</v>
          </cell>
          <cell r="AF1144" t="str">
            <v>PISCO</v>
          </cell>
        </row>
        <row r="1145">
          <cell r="C1145" t="str">
            <v>MF-302D/20</v>
          </cell>
          <cell r="E1145" t="str">
            <v>FOSFATO MONOAMÓNICO CRISTALIZADO</v>
          </cell>
          <cell r="F1145" t="str">
            <v>AMEROPA</v>
          </cell>
          <cell r="P1145">
            <v>200</v>
          </cell>
          <cell r="R1145" t="str">
            <v>CFR</v>
          </cell>
          <cell r="S1145">
            <v>585</v>
          </cell>
          <cell r="Y1145">
            <v>44167</v>
          </cell>
          <cell r="AF1145" t="str">
            <v>MATARANI</v>
          </cell>
        </row>
        <row r="1146">
          <cell r="C1146" t="str">
            <v>MF-303A/20</v>
          </cell>
          <cell r="E1146" t="str">
            <v>FOSFATO MONOPOTASICO (MKP) X 25KG</v>
          </cell>
          <cell r="F1146" t="str">
            <v>AMEROPA</v>
          </cell>
          <cell r="P1146">
            <v>195</v>
          </cell>
          <cell r="R1146" t="str">
            <v>CFR</v>
          </cell>
          <cell r="S1146">
            <v>1047</v>
          </cell>
          <cell r="Y1146">
            <v>44153</v>
          </cell>
          <cell r="AF1146" t="str">
            <v>PAITA</v>
          </cell>
        </row>
        <row r="1147">
          <cell r="C1147" t="str">
            <v>MF-303B/20</v>
          </cell>
          <cell r="E1147" t="str">
            <v>FOSFATO MONOPOTASICO (MKP) X 25KG</v>
          </cell>
          <cell r="F1147" t="str">
            <v>AMEROPA</v>
          </cell>
          <cell r="P1147">
            <v>97.5</v>
          </cell>
          <cell r="R1147" t="str">
            <v>CFR</v>
          </cell>
          <cell r="S1147">
            <v>1047</v>
          </cell>
          <cell r="Y1147">
            <v>44161</v>
          </cell>
          <cell r="AF1147" t="str">
            <v>CALLAO</v>
          </cell>
        </row>
        <row r="1148">
          <cell r="C1148" t="str">
            <v>MF-304A/20</v>
          </cell>
          <cell r="E1148" t="str">
            <v>SULFATO FERROSO HEPTAHIDRATADO</v>
          </cell>
          <cell r="F1148" t="str">
            <v>AMEROPA</v>
          </cell>
          <cell r="P1148">
            <v>48.75</v>
          </cell>
          <cell r="R1148" t="str">
            <v>CFR</v>
          </cell>
          <cell r="S1148">
            <v>110</v>
          </cell>
          <cell r="Y1148">
            <v>44153</v>
          </cell>
          <cell r="AF1148" t="str">
            <v>PAITA</v>
          </cell>
        </row>
        <row r="1149">
          <cell r="C1149" t="str">
            <v>MF-304B/20</v>
          </cell>
          <cell r="E1149" t="str">
            <v>SULFATO FERROSO HEPTAHIDRATADO</v>
          </cell>
          <cell r="F1149" t="str">
            <v>AMEROPA</v>
          </cell>
          <cell r="P1149">
            <v>68.75</v>
          </cell>
          <cell r="R1149" t="str">
            <v>CFR</v>
          </cell>
          <cell r="S1149">
            <v>110</v>
          </cell>
          <cell r="Y1149">
            <v>44156</v>
          </cell>
          <cell r="AF1149" t="str">
            <v>SALAVERRY</v>
          </cell>
        </row>
        <row r="1150">
          <cell r="C1150" t="str">
            <v>MF-304C/20</v>
          </cell>
          <cell r="E1150" t="str">
            <v>SULFATO FERROSO HEPTAHIDRATADO</v>
          </cell>
          <cell r="F1150" t="str">
            <v>AMEROPA</v>
          </cell>
          <cell r="P1150">
            <v>48.75</v>
          </cell>
          <cell r="R1150" t="str">
            <v>CFR</v>
          </cell>
          <cell r="S1150">
            <v>110</v>
          </cell>
          <cell r="Y1150">
            <v>44161</v>
          </cell>
          <cell r="AF1150" t="str">
            <v>CALLAO</v>
          </cell>
        </row>
        <row r="1151">
          <cell r="C1151" t="str">
            <v>MF-304D/20</v>
          </cell>
          <cell r="E1151" t="str">
            <v>SULFATO FERROSO HEPTAHIDRATADO</v>
          </cell>
          <cell r="F1151" t="str">
            <v>AMEROPA</v>
          </cell>
          <cell r="P1151">
            <v>28.75</v>
          </cell>
          <cell r="R1151" t="str">
            <v>CFR</v>
          </cell>
          <cell r="S1151">
            <v>110</v>
          </cell>
          <cell r="Y1151">
            <v>44163</v>
          </cell>
          <cell r="AF1151" t="str">
            <v>PISCO</v>
          </cell>
        </row>
        <row r="1152">
          <cell r="C1152" t="str">
            <v>MF-305/20</v>
          </cell>
          <cell r="E1152" t="str">
            <v>VALUCID PK</v>
          </cell>
          <cell r="F1152" t="str">
            <v>VALUDOR Products LLC</v>
          </cell>
          <cell r="P1152">
            <v>57.5</v>
          </cell>
          <cell r="R1152" t="str">
            <v>CIF</v>
          </cell>
          <cell r="S1152">
            <v>1325</v>
          </cell>
          <cell r="Y1152">
            <v>44186</v>
          </cell>
          <cell r="AF1152" t="str">
            <v>CALLAO</v>
          </cell>
        </row>
        <row r="1153">
          <cell r="C1153" t="str">
            <v>MF-306A/20</v>
          </cell>
          <cell r="E1153" t="str">
            <v>SULFATO DE MAGNESIO MONOHIDRATADO GRANULAR (KIESERITA)</v>
          </cell>
          <cell r="F1153" t="str">
            <v>AMEROPA</v>
          </cell>
          <cell r="P1153">
            <v>140.4</v>
          </cell>
          <cell r="R1153" t="str">
            <v>CFR</v>
          </cell>
          <cell r="S1153">
            <v>125</v>
          </cell>
          <cell r="Y1153">
            <v>44156</v>
          </cell>
          <cell r="AF1153" t="str">
            <v>SALAVERRY</v>
          </cell>
        </row>
        <row r="1154">
          <cell r="C1154" t="str">
            <v>MF-306B/20</v>
          </cell>
          <cell r="E1154" t="str">
            <v>SULFATO DE MAGNESIO MONOHIDRATADO GRANULAR (KIESERITA)</v>
          </cell>
          <cell r="F1154" t="str">
            <v>AMEROPA</v>
          </cell>
          <cell r="P1154">
            <v>299</v>
          </cell>
          <cell r="R1154" t="str">
            <v>CFR</v>
          </cell>
          <cell r="S1154">
            <v>125</v>
          </cell>
          <cell r="Y1154">
            <v>44161</v>
          </cell>
          <cell r="AF1154" t="str">
            <v>CALLAO</v>
          </cell>
        </row>
        <row r="1155">
          <cell r="C1155" t="str">
            <v>MF-306C/20</v>
          </cell>
          <cell r="E1155" t="str">
            <v>SULFATO DE MAGNESIO MONOHIDRATADO GRANULAR (KIESERITA)</v>
          </cell>
          <cell r="F1155" t="str">
            <v>AMEROPA</v>
          </cell>
          <cell r="P1155">
            <v>61.1</v>
          </cell>
          <cell r="R1155" t="str">
            <v>CFR</v>
          </cell>
          <cell r="S1155">
            <v>125</v>
          </cell>
          <cell r="Y1155">
            <v>44167</v>
          </cell>
          <cell r="AF1155" t="str">
            <v>MATARANI</v>
          </cell>
        </row>
        <row r="1156">
          <cell r="C1156" t="str">
            <v>MF-307/20</v>
          </cell>
          <cell r="E1156" t="str">
            <v>YARALIVA NITRABOR A GRANEL</v>
          </cell>
          <cell r="F1156" t="str">
            <v>YARA PERÚ SRL</v>
          </cell>
          <cell r="P1156">
            <v>106.44</v>
          </cell>
          <cell r="R1156" t="str">
            <v>CFR</v>
          </cell>
          <cell r="S1156">
            <v>301.05</v>
          </cell>
          <cell r="Y1156">
            <v>44152</v>
          </cell>
          <cell r="AF1156" t="str">
            <v>MATARANI</v>
          </cell>
        </row>
        <row r="1157">
          <cell r="C1157" t="str">
            <v>MF-308/20</v>
          </cell>
          <cell r="E1157" t="str">
            <v>YARALIVA NITRABOR A GRANEL</v>
          </cell>
          <cell r="F1157" t="str">
            <v>YARA PERÚ SRL</v>
          </cell>
          <cell r="P1157">
            <v>53.89</v>
          </cell>
          <cell r="R1157" t="str">
            <v>CFR</v>
          </cell>
          <cell r="S1157">
            <v>301.05</v>
          </cell>
          <cell r="Y1157">
            <v>44152</v>
          </cell>
          <cell r="AF1157" t="str">
            <v>MATARANI</v>
          </cell>
        </row>
        <row r="1158">
          <cell r="C1158" t="str">
            <v>MF-309/20</v>
          </cell>
          <cell r="E1158" t="str">
            <v>YARALIVA NITRABOR A GRANEL</v>
          </cell>
          <cell r="F1158" t="str">
            <v>YARA PERÚ SRL</v>
          </cell>
          <cell r="P1158">
            <v>267.27999999999997</v>
          </cell>
          <cell r="R1158" t="str">
            <v>CFR</v>
          </cell>
          <cell r="S1158">
            <v>274.32</v>
          </cell>
          <cell r="Y1158">
            <v>44111</v>
          </cell>
          <cell r="AF1158" t="str">
            <v>PAITA</v>
          </cell>
        </row>
        <row r="1159">
          <cell r="C1159" t="str">
            <v>MF-310/20</v>
          </cell>
          <cell r="E1159" t="str">
            <v>YARALIVA NITRABOR A GRANEL</v>
          </cell>
          <cell r="F1159" t="str">
            <v>YARA PERÚ SRL</v>
          </cell>
          <cell r="P1159">
            <v>133.27500000000001</v>
          </cell>
          <cell r="R1159" t="str">
            <v>CFR</v>
          </cell>
          <cell r="S1159">
            <v>272.02</v>
          </cell>
          <cell r="Y1159">
            <v>44113</v>
          </cell>
          <cell r="AF1159" t="str">
            <v>CALLAO</v>
          </cell>
        </row>
        <row r="1160">
          <cell r="C1160" t="str">
            <v>MF-311/20</v>
          </cell>
          <cell r="E1160" t="str">
            <v>YARALIVA NITRABOR A GRANEL</v>
          </cell>
          <cell r="F1160" t="str">
            <v>YARA PERÚ SRL</v>
          </cell>
          <cell r="P1160">
            <v>52.95</v>
          </cell>
          <cell r="R1160" t="str">
            <v>CFR</v>
          </cell>
          <cell r="S1160">
            <v>274.32</v>
          </cell>
          <cell r="Y1160">
            <v>44118</v>
          </cell>
          <cell r="AF1160" t="str">
            <v>PAITA</v>
          </cell>
        </row>
        <row r="1161">
          <cell r="C1161" t="str">
            <v>MF-312/20</v>
          </cell>
          <cell r="E1161" t="str">
            <v>YARALIVA NITRABOR A GRANEL</v>
          </cell>
          <cell r="F1161" t="str">
            <v>YARA PERÚ SRL</v>
          </cell>
          <cell r="P1161">
            <v>133.315</v>
          </cell>
          <cell r="R1161" t="str">
            <v>CFR</v>
          </cell>
          <cell r="S1161">
            <v>272.02</v>
          </cell>
          <cell r="Y1161">
            <v>44120</v>
          </cell>
          <cell r="AF1161" t="str">
            <v>CALLAO</v>
          </cell>
        </row>
        <row r="1162">
          <cell r="C1162" t="str">
            <v>MF-313A/20</v>
          </cell>
          <cell r="E1162" t="str">
            <v>NITRATO DE POTASIO CRISTALIZADO</v>
          </cell>
          <cell r="F1162" t="str">
            <v>WEGROW AG</v>
          </cell>
          <cell r="P1162">
            <v>216</v>
          </cell>
          <cell r="R1162" t="str">
            <v>CFR</v>
          </cell>
          <cell r="S1162">
            <v>626</v>
          </cell>
          <cell r="Y1162">
            <v>44139</v>
          </cell>
          <cell r="AF1162" t="str">
            <v>CALLAO</v>
          </cell>
        </row>
        <row r="1163">
          <cell r="C1163" t="str">
            <v>MF-313B/20</v>
          </cell>
          <cell r="E1163" t="str">
            <v>NITRATO DE POTASIO CRISTALIZADO</v>
          </cell>
          <cell r="F1163" t="str">
            <v>WEGROW AG</v>
          </cell>
          <cell r="P1163">
            <v>288</v>
          </cell>
          <cell r="R1163" t="str">
            <v>CFR</v>
          </cell>
          <cell r="S1163">
            <v>630</v>
          </cell>
          <cell r="Y1163">
            <v>44147</v>
          </cell>
          <cell r="AF1163" t="str">
            <v>PAITA</v>
          </cell>
        </row>
        <row r="1164">
          <cell r="C1164" t="str">
            <v>MF-313C/20</v>
          </cell>
          <cell r="E1164" t="str">
            <v>NITRATO DE POTASIO CRISTALIZADO</v>
          </cell>
          <cell r="F1164" t="str">
            <v>WEGROW AG</v>
          </cell>
          <cell r="P1164">
            <v>96</v>
          </cell>
          <cell r="R1164" t="str">
            <v>CFR</v>
          </cell>
          <cell r="S1164">
            <v>634</v>
          </cell>
          <cell r="Y1164">
            <v>44176</v>
          </cell>
          <cell r="AF1164" t="str">
            <v>MATARANI</v>
          </cell>
        </row>
        <row r="1165">
          <cell r="C1165" t="str">
            <v>MF-314A/20</v>
          </cell>
          <cell r="E1165" t="str">
            <v>SULFATO DE AMONIO ESTÁNDAR</v>
          </cell>
          <cell r="F1165" t="str">
            <v xml:space="preserve">TGO Agriculture (USA) Inc. </v>
          </cell>
          <cell r="P1165">
            <v>1200</v>
          </cell>
          <cell r="R1165" t="str">
            <v>CFR</v>
          </cell>
          <cell r="S1165">
            <v>143.09</v>
          </cell>
          <cell r="Y1165">
            <v>44177</v>
          </cell>
          <cell r="AF1165" t="str">
            <v>SALAVERRY</v>
          </cell>
        </row>
        <row r="1166">
          <cell r="C1166" t="str">
            <v>MF-314B/20</v>
          </cell>
          <cell r="E1166" t="str">
            <v>SULFATO DE AMONIO ESTÁNDAR</v>
          </cell>
          <cell r="F1166" t="str">
            <v xml:space="preserve">TGO Agriculture (USA) Inc. </v>
          </cell>
          <cell r="P1166">
            <v>300</v>
          </cell>
          <cell r="R1166" t="str">
            <v>CFR</v>
          </cell>
          <cell r="S1166">
            <v>143.09</v>
          </cell>
          <cell r="Y1166">
            <v>44180</v>
          </cell>
          <cell r="AF1166" t="str">
            <v>CALLAO</v>
          </cell>
        </row>
        <row r="1167">
          <cell r="C1167" t="str">
            <v>MF-315A/20</v>
          </cell>
          <cell r="E1167" t="str">
            <v>FOSFATO DIAMÓNICO GRANULAR</v>
          </cell>
          <cell r="F1167" t="str">
            <v xml:space="preserve">TGO Agriculture (USA) Inc. </v>
          </cell>
          <cell r="P1167">
            <v>400</v>
          </cell>
          <cell r="R1167" t="str">
            <v>CFR</v>
          </cell>
          <cell r="S1167">
            <v>384.61</v>
          </cell>
          <cell r="Y1167">
            <v>44173</v>
          </cell>
          <cell r="AF1167" t="str">
            <v>PAITA</v>
          </cell>
        </row>
        <row r="1168">
          <cell r="C1168" t="str">
            <v>MF-315B/20</v>
          </cell>
          <cell r="E1168" t="str">
            <v>FOSFATO DIAMÓNICO GRANULAR</v>
          </cell>
          <cell r="F1168" t="str">
            <v xml:space="preserve">TGO Agriculture (USA) Inc. </v>
          </cell>
          <cell r="P1168">
            <v>300</v>
          </cell>
          <cell r="R1168" t="str">
            <v>CFR</v>
          </cell>
          <cell r="S1168">
            <v>384.61</v>
          </cell>
          <cell r="Y1168">
            <v>44177</v>
          </cell>
          <cell r="AF1168" t="str">
            <v>SALAVERRY</v>
          </cell>
        </row>
        <row r="1169">
          <cell r="C1169" t="str">
            <v>MF-315C/20</v>
          </cell>
          <cell r="E1169" t="str">
            <v>FOSFATO DIAMÓNICO GRANULAR</v>
          </cell>
          <cell r="F1169" t="str">
            <v xml:space="preserve">TGO Agriculture (USA) Inc. </v>
          </cell>
          <cell r="P1169">
            <v>300</v>
          </cell>
          <cell r="R1169" t="str">
            <v>CFR</v>
          </cell>
          <cell r="S1169">
            <v>384.61</v>
          </cell>
          <cell r="Y1169">
            <v>44180</v>
          </cell>
          <cell r="AF1169" t="str">
            <v>CALLAO</v>
          </cell>
        </row>
        <row r="1170">
          <cell r="C1170" t="str">
            <v>MF-315D/20</v>
          </cell>
          <cell r="E1170" t="str">
            <v>FOSFATO DIAMÓNICO GRANULAR</v>
          </cell>
          <cell r="F1170" t="str">
            <v xml:space="preserve">TGO Agriculture (USA) Inc. </v>
          </cell>
          <cell r="P1170">
            <v>200</v>
          </cell>
          <cell r="R1170" t="str">
            <v>CFR</v>
          </cell>
          <cell r="S1170">
            <v>384.61</v>
          </cell>
          <cell r="Y1170">
            <v>44182</v>
          </cell>
          <cell r="AF1170" t="str">
            <v>PISCO</v>
          </cell>
        </row>
        <row r="1171">
          <cell r="C1171" t="str">
            <v>MF-315E/20</v>
          </cell>
          <cell r="E1171" t="str">
            <v>FOSFATO DIAMÓNICO GRANULAR</v>
          </cell>
          <cell r="F1171" t="str">
            <v xml:space="preserve">TGO Agriculture (USA) Inc. </v>
          </cell>
          <cell r="P1171">
            <v>1300</v>
          </cell>
          <cell r="R1171" t="str">
            <v>CFR</v>
          </cell>
          <cell r="S1171">
            <v>384.61</v>
          </cell>
          <cell r="Y1171">
            <v>44183</v>
          </cell>
          <cell r="AF1171" t="str">
            <v>MATARANI</v>
          </cell>
        </row>
        <row r="1172">
          <cell r="C1172" t="str">
            <v>MF-316A/20</v>
          </cell>
          <cell r="E1172" t="str">
            <v>UREA GRANULADA</v>
          </cell>
          <cell r="F1172" t="str">
            <v xml:space="preserve">TGO Agriculture (USA) Inc. </v>
          </cell>
          <cell r="P1172">
            <v>900</v>
          </cell>
          <cell r="R1172" t="str">
            <v>CFR</v>
          </cell>
          <cell r="S1172">
            <v>301.39</v>
          </cell>
          <cell r="Y1172">
            <v>44173</v>
          </cell>
          <cell r="AF1172" t="str">
            <v>PAITA</v>
          </cell>
        </row>
        <row r="1173">
          <cell r="C1173" t="str">
            <v>MF-316B/20</v>
          </cell>
          <cell r="E1173" t="str">
            <v>UREA GRANULADA</v>
          </cell>
          <cell r="F1173" t="str">
            <v xml:space="preserve">TGO Agriculture (USA) Inc. </v>
          </cell>
          <cell r="P1173">
            <v>1100</v>
          </cell>
          <cell r="R1173" t="str">
            <v>CFR</v>
          </cell>
          <cell r="S1173">
            <v>301.39</v>
          </cell>
          <cell r="Y1173">
            <v>44177</v>
          </cell>
          <cell r="AF1173" t="str">
            <v>SALAVERRY</v>
          </cell>
        </row>
        <row r="1174">
          <cell r="C1174" t="str">
            <v>MF-316C/20</v>
          </cell>
          <cell r="E1174" t="str">
            <v>UREA GRANULADA</v>
          </cell>
          <cell r="F1174" t="str">
            <v xml:space="preserve">TGO Agriculture (USA) Inc. </v>
          </cell>
          <cell r="P1174">
            <v>150</v>
          </cell>
          <cell r="R1174" t="str">
            <v>CFR</v>
          </cell>
          <cell r="S1174">
            <v>301.39</v>
          </cell>
          <cell r="Y1174">
            <v>44180</v>
          </cell>
          <cell r="AF1174" t="str">
            <v>CALLAO</v>
          </cell>
        </row>
        <row r="1175">
          <cell r="C1175" t="str">
            <v>MF-316D/20</v>
          </cell>
          <cell r="E1175" t="str">
            <v>UREA GRANULADA</v>
          </cell>
          <cell r="F1175" t="str">
            <v xml:space="preserve">TGO Agriculture (USA) Inc. </v>
          </cell>
          <cell r="P1175">
            <v>850</v>
          </cell>
          <cell r="R1175" t="str">
            <v>CFR</v>
          </cell>
          <cell r="S1175">
            <v>301.39</v>
          </cell>
          <cell r="Y1175">
            <v>44183</v>
          </cell>
          <cell r="AF1175" t="str">
            <v>MATARANI</v>
          </cell>
        </row>
        <row r="1176">
          <cell r="C1176" t="str">
            <v>MF-317A/20</v>
          </cell>
          <cell r="E1176" t="str">
            <v>IDAI COBRE X 1 LT</v>
          </cell>
          <cell r="F1176" t="str">
            <v>IDAI NATURE</v>
          </cell>
          <cell r="P1176">
            <v>1.0771200000000001</v>
          </cell>
          <cell r="R1176" t="str">
            <v>CIF</v>
          </cell>
          <cell r="S1176">
            <v>7166.3262680785183</v>
          </cell>
          <cell r="Y1176">
            <v>44141</v>
          </cell>
          <cell r="AF1176" t="str">
            <v>CALLAO</v>
          </cell>
        </row>
        <row r="1177">
          <cell r="C1177" t="str">
            <v>MF-317B/20</v>
          </cell>
          <cell r="E1177" t="str">
            <v>IDAI COBRE X 20 LT</v>
          </cell>
          <cell r="F1177" t="str">
            <v>IDAI NATURE</v>
          </cell>
          <cell r="P1177">
            <v>5.2223999999999995</v>
          </cell>
          <cell r="R1177" t="str">
            <v>CIF</v>
          </cell>
          <cell r="S1177">
            <v>5877.1458812284136</v>
          </cell>
          <cell r="Y1177">
            <v>44141</v>
          </cell>
          <cell r="AF1177" t="str">
            <v>CALLAO</v>
          </cell>
        </row>
        <row r="1178">
          <cell r="C1178" t="str">
            <v>MF-318/20</v>
          </cell>
          <cell r="E1178" t="str">
            <v>YARATERA REXOLIN X60 X5KG</v>
          </cell>
          <cell r="F1178" t="str">
            <v>YARA PERÚ SRL</v>
          </cell>
          <cell r="P1178">
            <v>16</v>
          </cell>
          <cell r="R1178" t="str">
            <v>CFR</v>
          </cell>
          <cell r="S1178">
            <v>9560</v>
          </cell>
          <cell r="Y1178">
            <v>44146</v>
          </cell>
          <cell r="AF1178" t="str">
            <v>CALLAO</v>
          </cell>
        </row>
        <row r="1179">
          <cell r="C1179" t="str">
            <v>MF-319/20</v>
          </cell>
          <cell r="E1179" t="str">
            <v>UREA ADBLUE (BIG BAG)</v>
          </cell>
          <cell r="F1179" t="str">
            <v>PHOSAGRO</v>
          </cell>
          <cell r="P1179">
            <v>633.6</v>
          </cell>
          <cell r="R1179" t="str">
            <v>CFR</v>
          </cell>
          <cell r="S1179">
            <v>330</v>
          </cell>
          <cell r="Y1179">
            <v>44182</v>
          </cell>
          <cell r="AF1179" t="str">
            <v>CALLAO</v>
          </cell>
        </row>
        <row r="1180">
          <cell r="C1180" t="str">
            <v>MF-320/20</v>
          </cell>
          <cell r="E1180" t="str">
            <v>UREA ADBLUE (BIG BAG)</v>
          </cell>
          <cell r="F1180" t="str">
            <v>PHOSAGRO</v>
          </cell>
          <cell r="P1180">
            <v>633.6</v>
          </cell>
          <cell r="R1180" t="str">
            <v>CFR</v>
          </cell>
          <cell r="S1180">
            <v>324</v>
          </cell>
          <cell r="Y1180">
            <v>44182</v>
          </cell>
          <cell r="AF1180" t="str">
            <v>CALLAO</v>
          </cell>
        </row>
        <row r="1181">
          <cell r="C1181" t="str">
            <v>MF-321A/20</v>
          </cell>
          <cell r="E1181" t="str">
            <v>NITRATO DE AMONIO</v>
          </cell>
          <cell r="F1181" t="str">
            <v>URALCHEM (MITSUI)</v>
          </cell>
          <cell r="P1181">
            <v>1500</v>
          </cell>
          <cell r="R1181" t="str">
            <v>CFR</v>
          </cell>
          <cell r="S1181">
            <v>252</v>
          </cell>
          <cell r="Y1181">
            <v>44136</v>
          </cell>
          <cell r="AF1181" t="str">
            <v>PAITA</v>
          </cell>
        </row>
        <row r="1182">
          <cell r="C1182" t="str">
            <v>MF-321B/20</v>
          </cell>
          <cell r="E1182" t="str">
            <v>NITRATO DE AMONIO</v>
          </cell>
          <cell r="F1182" t="str">
            <v>URALCHEM (MITSUI)</v>
          </cell>
          <cell r="P1182">
            <v>2100</v>
          </cell>
          <cell r="R1182" t="str">
            <v>CFR</v>
          </cell>
          <cell r="S1182">
            <v>252</v>
          </cell>
          <cell r="Y1182">
            <v>44138</v>
          </cell>
          <cell r="AF1182" t="str">
            <v>SALAVERRY</v>
          </cell>
        </row>
        <row r="1183">
          <cell r="C1183" t="str">
            <v>MF-321C/20</v>
          </cell>
          <cell r="E1183" t="str">
            <v>NITRATO DE AMONIO</v>
          </cell>
          <cell r="F1183" t="str">
            <v>URALCHEM (MITSUI)</v>
          </cell>
          <cell r="P1183">
            <v>3100</v>
          </cell>
          <cell r="R1183" t="str">
            <v>CFR</v>
          </cell>
          <cell r="S1183">
            <v>252</v>
          </cell>
          <cell r="Y1183">
            <v>44140</v>
          </cell>
          <cell r="AF1183" t="str">
            <v>CALLAO</v>
          </cell>
        </row>
        <row r="1184">
          <cell r="C1184" t="str">
            <v>MF-321D/20</v>
          </cell>
          <cell r="E1184" t="str">
            <v>NITRATO DE AMONIO</v>
          </cell>
          <cell r="F1184" t="str">
            <v>URALCHEM (MITSUI)</v>
          </cell>
          <cell r="P1184">
            <v>1100</v>
          </cell>
          <cell r="R1184" t="str">
            <v>CFR</v>
          </cell>
          <cell r="S1184">
            <v>252</v>
          </cell>
          <cell r="Y1184">
            <v>44144</v>
          </cell>
          <cell r="AF1184" t="str">
            <v>PISCO</v>
          </cell>
        </row>
        <row r="1185">
          <cell r="C1185" t="str">
            <v>MF-321E/20</v>
          </cell>
          <cell r="E1185" t="str">
            <v>NITRATO DE AMONIO</v>
          </cell>
          <cell r="F1185" t="str">
            <v>URALCHEM (MITSUI)</v>
          </cell>
          <cell r="P1185">
            <v>2100</v>
          </cell>
          <cell r="R1185" t="str">
            <v>CFR</v>
          </cell>
          <cell r="S1185">
            <v>252</v>
          </cell>
          <cell r="Y1185">
            <v>44149</v>
          </cell>
          <cell r="AF1185" t="str">
            <v>MATARANI</v>
          </cell>
        </row>
        <row r="1186">
          <cell r="C1186" t="str">
            <v>MF-322A/20</v>
          </cell>
          <cell r="E1186" t="str">
            <v>UREA PERLADA</v>
          </cell>
          <cell r="F1186" t="str">
            <v>URALCHEM (MITSUI)</v>
          </cell>
          <cell r="P1186">
            <v>400</v>
          </cell>
          <cell r="R1186" t="str">
            <v>CFR</v>
          </cell>
          <cell r="S1186">
            <v>301.8</v>
          </cell>
          <cell r="Y1186">
            <v>44136</v>
          </cell>
          <cell r="AF1186" t="str">
            <v>PAITA</v>
          </cell>
        </row>
        <row r="1187">
          <cell r="C1187" t="str">
            <v>MF-322B/20</v>
          </cell>
          <cell r="E1187" t="str">
            <v>UREA PERLADA</v>
          </cell>
          <cell r="F1187" t="str">
            <v>URALCHEM (MITSUI)</v>
          </cell>
          <cell r="P1187">
            <v>1000</v>
          </cell>
          <cell r="R1187" t="str">
            <v>CFR</v>
          </cell>
          <cell r="S1187">
            <v>301.8</v>
          </cell>
          <cell r="Y1187">
            <v>44138</v>
          </cell>
          <cell r="AF1187" t="str">
            <v>SALAVERRY</v>
          </cell>
        </row>
        <row r="1188">
          <cell r="C1188" t="str">
            <v>MF-322C/20</v>
          </cell>
          <cell r="E1188" t="str">
            <v>UREA PERLADA</v>
          </cell>
          <cell r="F1188" t="str">
            <v>URALCHEM (MITSUI)</v>
          </cell>
          <cell r="P1188">
            <v>800</v>
          </cell>
          <cell r="R1188" t="str">
            <v>CFR</v>
          </cell>
          <cell r="S1188">
            <v>301.8</v>
          </cell>
          <cell r="Y1188">
            <v>44140</v>
          </cell>
          <cell r="AF1188" t="str">
            <v>CALLAO</v>
          </cell>
        </row>
        <row r="1189">
          <cell r="C1189" t="str">
            <v>MF-322D/20</v>
          </cell>
          <cell r="E1189" t="str">
            <v>UREA PERLADA</v>
          </cell>
          <cell r="F1189" t="str">
            <v>URALCHEM (MITSUI)</v>
          </cell>
          <cell r="P1189">
            <v>200</v>
          </cell>
          <cell r="R1189" t="str">
            <v>CFR</v>
          </cell>
          <cell r="S1189">
            <v>301.8</v>
          </cell>
          <cell r="Y1189">
            <v>44144</v>
          </cell>
          <cell r="AF1189" t="str">
            <v>PISCO</v>
          </cell>
        </row>
        <row r="1190">
          <cell r="C1190" t="str">
            <v>MF-322E/20</v>
          </cell>
          <cell r="E1190" t="str">
            <v>UREA PERLADA</v>
          </cell>
          <cell r="F1190" t="str">
            <v>URALCHEM (MITSUI)</v>
          </cell>
          <cell r="P1190">
            <v>2100</v>
          </cell>
          <cell r="R1190" t="str">
            <v>CFR</v>
          </cell>
          <cell r="S1190">
            <v>301.8</v>
          </cell>
          <cell r="Y1190">
            <v>44149</v>
          </cell>
          <cell r="AF1190" t="str">
            <v>MATARANI</v>
          </cell>
        </row>
        <row r="1191">
          <cell r="C1191" t="str">
            <v>MF-323A/20</v>
          </cell>
          <cell r="E1191" t="str">
            <v>YARAMILA COMPLEX</v>
          </cell>
          <cell r="F1191" t="str">
            <v>YARA PERÚ SRL</v>
          </cell>
          <cell r="P1191">
            <v>900</v>
          </cell>
          <cell r="R1191" t="str">
            <v>CFR</v>
          </cell>
          <cell r="S1191">
            <v>522.79999999999995</v>
          </cell>
          <cell r="Y1191">
            <v>44136</v>
          </cell>
          <cell r="AF1191" t="str">
            <v>PAITA</v>
          </cell>
        </row>
        <row r="1192">
          <cell r="C1192" t="str">
            <v>MF-323B/20</v>
          </cell>
          <cell r="E1192" t="str">
            <v>YARAMILA COMPLEX</v>
          </cell>
          <cell r="F1192" t="str">
            <v>YARA PERÚ SRL</v>
          </cell>
          <cell r="P1192">
            <v>800</v>
          </cell>
          <cell r="R1192" t="str">
            <v>CFR</v>
          </cell>
          <cell r="S1192">
            <v>522.79999999999995</v>
          </cell>
          <cell r="Y1192">
            <v>44138</v>
          </cell>
          <cell r="AF1192" t="str">
            <v>SALAVERRY</v>
          </cell>
        </row>
        <row r="1193">
          <cell r="C1193" t="str">
            <v>MF-323C/20</v>
          </cell>
          <cell r="E1193" t="str">
            <v>YARAMILA COMPLEX</v>
          </cell>
          <cell r="F1193" t="str">
            <v>YARA PERÚ SRL</v>
          </cell>
          <cell r="P1193">
            <v>1100</v>
          </cell>
          <cell r="R1193" t="str">
            <v>CFR</v>
          </cell>
          <cell r="S1193">
            <v>522.79999999999995</v>
          </cell>
          <cell r="Y1193">
            <v>44140</v>
          </cell>
          <cell r="AF1193" t="str">
            <v>CALLAO</v>
          </cell>
        </row>
        <row r="1194">
          <cell r="C1194" t="str">
            <v>MF-323D/20</v>
          </cell>
          <cell r="E1194" t="str">
            <v>YARAMILA COMPLEX</v>
          </cell>
          <cell r="F1194" t="str">
            <v>YARA PERÚ SRL</v>
          </cell>
          <cell r="P1194">
            <v>500</v>
          </cell>
          <cell r="R1194" t="str">
            <v>CFR</v>
          </cell>
          <cell r="S1194">
            <v>522.79999999999995</v>
          </cell>
          <cell r="Y1194">
            <v>44144</v>
          </cell>
          <cell r="AF1194" t="str">
            <v>PISCO</v>
          </cell>
        </row>
        <row r="1195">
          <cell r="C1195" t="str">
            <v>MF-323E/20</v>
          </cell>
          <cell r="E1195" t="str">
            <v>YARAMILA COMPLEX</v>
          </cell>
          <cell r="F1195" t="str">
            <v>YARA PERÚ SRL</v>
          </cell>
          <cell r="P1195">
            <v>453</v>
          </cell>
          <cell r="R1195" t="str">
            <v>CFR</v>
          </cell>
          <cell r="S1195">
            <v>522.79999999999995</v>
          </cell>
          <cell r="Y1195">
            <v>44149</v>
          </cell>
          <cell r="AF1195" t="str">
            <v>MATARANI</v>
          </cell>
        </row>
        <row r="1196">
          <cell r="C1196" t="str">
            <v>MF-324A/20</v>
          </cell>
          <cell r="E1196" t="str">
            <v>YARAMILA HYDRAN</v>
          </cell>
          <cell r="F1196" t="str">
            <v>YARA PERÚ SRL</v>
          </cell>
          <cell r="P1196">
            <v>2000</v>
          </cell>
          <cell r="R1196" t="str">
            <v>CFR</v>
          </cell>
          <cell r="S1196">
            <v>379.9</v>
          </cell>
          <cell r="Y1196">
            <v>44136</v>
          </cell>
          <cell r="AF1196" t="str">
            <v>PAITA</v>
          </cell>
        </row>
        <row r="1197">
          <cell r="C1197" t="str">
            <v>MF-324B/20</v>
          </cell>
          <cell r="E1197" t="str">
            <v>YARAMILA HYDRAN</v>
          </cell>
          <cell r="F1197" t="str">
            <v>YARA PERÚ SRL</v>
          </cell>
          <cell r="P1197">
            <v>1300</v>
          </cell>
          <cell r="R1197" t="str">
            <v>CFR</v>
          </cell>
          <cell r="S1197">
            <v>379.9</v>
          </cell>
          <cell r="Y1197">
            <v>44138</v>
          </cell>
          <cell r="AF1197" t="str">
            <v>SALAVERRY</v>
          </cell>
        </row>
        <row r="1198">
          <cell r="C1198" t="str">
            <v>MF-324C.1/20</v>
          </cell>
          <cell r="E1198" t="str">
            <v>YARAMILA HYDRAN</v>
          </cell>
          <cell r="F1198" t="str">
            <v>YARA PERÚ SRL</v>
          </cell>
          <cell r="P1198">
            <v>67</v>
          </cell>
          <cell r="R1198" t="str">
            <v>CFR</v>
          </cell>
          <cell r="S1198">
            <v>379.9</v>
          </cell>
          <cell r="Y1198">
            <v>44140</v>
          </cell>
          <cell r="AF1198" t="str">
            <v>CALLAO</v>
          </cell>
        </row>
        <row r="1199">
          <cell r="C1199" t="str">
            <v>MF-324C.2/20</v>
          </cell>
          <cell r="E1199" t="str">
            <v>YARAMILA HYDRAN</v>
          </cell>
          <cell r="F1199" t="str">
            <v>YARA PERÚ SRL</v>
          </cell>
          <cell r="P1199">
            <v>1533</v>
          </cell>
          <cell r="R1199" t="str">
            <v>CFR</v>
          </cell>
          <cell r="S1199">
            <v>379.9</v>
          </cell>
          <cell r="Y1199">
            <v>44140</v>
          </cell>
          <cell r="AF1199" t="str">
            <v>CALLAO</v>
          </cell>
        </row>
        <row r="1200">
          <cell r="C1200" t="str">
            <v>MF-324D/20</v>
          </cell>
          <cell r="E1200" t="str">
            <v>YARAMILA HYDRAN</v>
          </cell>
          <cell r="F1200" t="str">
            <v>YARA PERÚ SRL</v>
          </cell>
          <cell r="P1200">
            <v>250</v>
          </cell>
          <cell r="R1200" t="str">
            <v>CFR</v>
          </cell>
          <cell r="S1200">
            <v>379.9</v>
          </cell>
          <cell r="Y1200">
            <v>44144</v>
          </cell>
          <cell r="AF1200" t="str">
            <v>PISCO</v>
          </cell>
        </row>
        <row r="1201">
          <cell r="C1201" t="str">
            <v>MF-324E/20</v>
          </cell>
          <cell r="E1201" t="str">
            <v>YARAMILA HYDRAN</v>
          </cell>
          <cell r="F1201" t="str">
            <v>YARA PERÚ SRL</v>
          </cell>
          <cell r="P1201">
            <v>350</v>
          </cell>
          <cell r="R1201" t="str">
            <v>CFR</v>
          </cell>
          <cell r="S1201">
            <v>379.9</v>
          </cell>
          <cell r="Y1201">
            <v>44149</v>
          </cell>
          <cell r="AF1201" t="str">
            <v>MATARANI</v>
          </cell>
        </row>
        <row r="1202">
          <cell r="C1202" t="str">
            <v>MF-325/20</v>
          </cell>
          <cell r="E1202" t="str">
            <v xml:space="preserve">SULFATO DE MAGNESIO HEPTAHIDRATADO </v>
          </cell>
          <cell r="F1202" t="str">
            <v>STAR GRACE MINING CO.,LTD</v>
          </cell>
          <cell r="P1202">
            <v>1200</v>
          </cell>
          <cell r="R1202" t="str">
            <v>CFR</v>
          </cell>
          <cell r="S1202">
            <v>115.5</v>
          </cell>
          <cell r="Y1202">
            <v>44162</v>
          </cell>
          <cell r="AF1202" t="str">
            <v>PAITA</v>
          </cell>
        </row>
        <row r="1203">
          <cell r="C1203" t="str">
            <v>MF-326.1/20</v>
          </cell>
          <cell r="E1203" t="str">
            <v xml:space="preserve">SULFATO DE MAGNESIO HEPTAHIDRATADO </v>
          </cell>
          <cell r="F1203" t="str">
            <v>STAR GRACE MINING CO.,LTD</v>
          </cell>
          <cell r="P1203">
            <v>600</v>
          </cell>
          <cell r="R1203" t="str">
            <v>CFR</v>
          </cell>
          <cell r="S1203">
            <v>97.5</v>
          </cell>
          <cell r="Y1203">
            <v>44195</v>
          </cell>
          <cell r="AF1203" t="str">
            <v>CALLAO</v>
          </cell>
        </row>
        <row r="1204">
          <cell r="C1204" t="str">
            <v>MF-326.2/20</v>
          </cell>
          <cell r="E1204" t="str">
            <v xml:space="preserve">SULFATO DE MAGNESIO HEPTAHIDRATADO </v>
          </cell>
          <cell r="F1204" t="str">
            <v>STAR GRACE MINING CO.,LTD</v>
          </cell>
          <cell r="P1204">
            <v>600</v>
          </cell>
          <cell r="R1204" t="str">
            <v>CFR</v>
          </cell>
          <cell r="S1204">
            <v>97.5</v>
          </cell>
          <cell r="Y1204">
            <v>44248</v>
          </cell>
          <cell r="AF1204" t="str">
            <v>CALLAO</v>
          </cell>
        </row>
        <row r="1205">
          <cell r="C1205" t="str">
            <v>MF-327.1/20</v>
          </cell>
          <cell r="E1205" t="str">
            <v xml:space="preserve">SULFATO DE MAGNESIO HEPTAHIDRATADO </v>
          </cell>
          <cell r="F1205" t="str">
            <v>STAR GRACE MINING CO.,LTD</v>
          </cell>
          <cell r="P1205">
            <v>200.4</v>
          </cell>
          <cell r="R1205" t="str">
            <v>CFR</v>
          </cell>
          <cell r="S1205">
            <v>107</v>
          </cell>
          <cell r="Y1205">
            <v>44171</v>
          </cell>
          <cell r="AF1205" t="str">
            <v>MATARANI</v>
          </cell>
        </row>
        <row r="1206">
          <cell r="C1206" t="str">
            <v>MF-327.2/20</v>
          </cell>
          <cell r="E1206" t="str">
            <v xml:space="preserve">SULFATO DE MAGNESIO HEPTAHIDRATADO </v>
          </cell>
          <cell r="F1206" t="str">
            <v>STAR GRACE MINING CO.,LTD</v>
          </cell>
          <cell r="P1206">
            <v>0</v>
          </cell>
          <cell r="R1206">
            <v>0</v>
          </cell>
          <cell r="S1206">
            <v>0</v>
          </cell>
          <cell r="Y1206">
            <v>0</v>
          </cell>
          <cell r="AF1206">
            <v>0</v>
          </cell>
        </row>
        <row r="1207">
          <cell r="C1207" t="str">
            <v>MF-327.3/20</v>
          </cell>
          <cell r="E1207" t="str">
            <v xml:space="preserve">SULFATO DE MAGNESIO HEPTAHIDRATADO </v>
          </cell>
          <cell r="F1207" t="str">
            <v>STAR GRACE MINING CO.,LTD</v>
          </cell>
          <cell r="P1207">
            <v>0</v>
          </cell>
          <cell r="R1207">
            <v>0</v>
          </cell>
          <cell r="S1207">
            <v>0</v>
          </cell>
          <cell r="Y1207">
            <v>0</v>
          </cell>
          <cell r="AF1207">
            <v>0</v>
          </cell>
        </row>
        <row r="1208">
          <cell r="C1208" t="str">
            <v>MF-328A/20</v>
          </cell>
          <cell r="E1208" t="str">
            <v>SULFATO DE POTASIO SOLUBLE</v>
          </cell>
          <cell r="F1208" t="str">
            <v>YARA SWITZERLAND LTD</v>
          </cell>
          <cell r="P1208">
            <v>504</v>
          </cell>
          <cell r="R1208" t="str">
            <v>CFR</v>
          </cell>
          <cell r="S1208">
            <v>410</v>
          </cell>
          <cell r="Y1208">
            <v>44246</v>
          </cell>
          <cell r="AF1208" t="str">
            <v>PAITA</v>
          </cell>
        </row>
        <row r="1209">
          <cell r="C1209" t="str">
            <v>MF-328B/20</v>
          </cell>
          <cell r="E1209" t="str">
            <v>SULFATO DE POTASIO SOLUBLE</v>
          </cell>
          <cell r="F1209" t="str">
            <v>YARA SWITZERLAND LTD</v>
          </cell>
          <cell r="P1209">
            <v>504</v>
          </cell>
          <cell r="R1209" t="str">
            <v>CFR</v>
          </cell>
          <cell r="S1209">
            <v>410</v>
          </cell>
          <cell r="Y1209">
            <v>44219</v>
          </cell>
          <cell r="AF1209" t="str">
            <v>PAITA</v>
          </cell>
        </row>
        <row r="1210">
          <cell r="C1210" t="str">
            <v>MF-328C1/20</v>
          </cell>
          <cell r="E1210" t="str">
            <v>SULFATO DE POTASIO SOLUBLE</v>
          </cell>
          <cell r="F1210" t="str">
            <v>YARA SWITZERLAND LTD</v>
          </cell>
          <cell r="P1210">
            <v>480</v>
          </cell>
          <cell r="R1210" t="str">
            <v>CFR</v>
          </cell>
          <cell r="S1210">
            <v>410</v>
          </cell>
          <cell r="Y1210">
            <v>44253</v>
          </cell>
          <cell r="AF1210" t="str">
            <v>PAITA</v>
          </cell>
        </row>
        <row r="1211">
          <cell r="C1211" t="str">
            <v>MF-328C2/20</v>
          </cell>
          <cell r="E1211" t="str">
            <v>SULFATO DE POTASIO SOLUBLE</v>
          </cell>
          <cell r="F1211" t="str">
            <v>YARA SWITZERLAND LTD</v>
          </cell>
          <cell r="P1211">
            <v>24</v>
          </cell>
          <cell r="R1211" t="str">
            <v>CFR</v>
          </cell>
          <cell r="S1211">
            <v>410</v>
          </cell>
          <cell r="Y1211">
            <v>44274</v>
          </cell>
          <cell r="AF1211" t="str">
            <v>PAITA</v>
          </cell>
        </row>
        <row r="1212">
          <cell r="C1212" t="str">
            <v>MF-329A.1/20</v>
          </cell>
          <cell r="E1212" t="str">
            <v>SULFATO DE POTASIO SOLUBLE</v>
          </cell>
          <cell r="F1212" t="str">
            <v>YARA SWITZERLAND LTD</v>
          </cell>
          <cell r="P1212">
            <v>216</v>
          </cell>
          <cell r="R1212" t="str">
            <v>CFR</v>
          </cell>
          <cell r="S1212">
            <v>400</v>
          </cell>
          <cell r="Y1212">
            <v>44206</v>
          </cell>
          <cell r="AF1212" t="str">
            <v>CALLAO</v>
          </cell>
        </row>
        <row r="1213">
          <cell r="C1213" t="str">
            <v>MF-329A.2/20</v>
          </cell>
          <cell r="E1213" t="str">
            <v>SULFATO DE POTASIO SOLUBLE</v>
          </cell>
          <cell r="F1213" t="str">
            <v>YARA SWITZERLAND LTD</v>
          </cell>
          <cell r="P1213">
            <v>216</v>
          </cell>
          <cell r="R1213" t="str">
            <v>CFR</v>
          </cell>
          <cell r="S1213">
            <v>400</v>
          </cell>
          <cell r="Y1213">
            <v>44206</v>
          </cell>
          <cell r="AF1213" t="str">
            <v>CALLAO</v>
          </cell>
        </row>
        <row r="1214">
          <cell r="C1214" t="str">
            <v>MF-329B/20</v>
          </cell>
          <cell r="E1214" t="str">
            <v>SULFATO DE POTASIO SOLUBLE</v>
          </cell>
          <cell r="F1214" t="str">
            <v>YARA SWITZERLAND LTD</v>
          </cell>
          <cell r="P1214">
            <v>432</v>
          </cell>
          <cell r="R1214" t="str">
            <v>CFR</v>
          </cell>
          <cell r="S1214">
            <v>400</v>
          </cell>
          <cell r="Y1214">
            <v>44232</v>
          </cell>
          <cell r="AF1214" t="str">
            <v>CALLAO</v>
          </cell>
        </row>
        <row r="1215">
          <cell r="C1215" t="str">
            <v>MF-329C/20</v>
          </cell>
          <cell r="E1215" t="str">
            <v>SULFATO DE POTASIO SOLUBLE</v>
          </cell>
          <cell r="F1215" t="str">
            <v>YARA SWITZERLAND LTD</v>
          </cell>
          <cell r="P1215">
            <v>432</v>
          </cell>
          <cell r="R1215" t="str">
            <v>CFR</v>
          </cell>
          <cell r="S1215">
            <v>400</v>
          </cell>
          <cell r="Y1215">
            <v>44275</v>
          </cell>
          <cell r="AF1215" t="str">
            <v>CALLAO</v>
          </cell>
        </row>
        <row r="1216">
          <cell r="C1216" t="str">
            <v>MF-330/20</v>
          </cell>
          <cell r="E1216" t="str">
            <v>SULFATO DE POTASIO SOLUBLE</v>
          </cell>
          <cell r="F1216" t="str">
            <v>YARA SWITZERLAND LTD</v>
          </cell>
          <cell r="P1216">
            <v>192</v>
          </cell>
          <cell r="R1216" t="str">
            <v>CFR</v>
          </cell>
          <cell r="S1216">
            <v>420</v>
          </cell>
          <cell r="Y1216">
            <v>44274</v>
          </cell>
          <cell r="AF1216" t="str">
            <v>MATARANI</v>
          </cell>
        </row>
        <row r="1217">
          <cell r="C1217" t="str">
            <v>MF-331/20</v>
          </cell>
          <cell r="E1217" t="str">
            <v>YARATERA REXOLIN X60 X5KG</v>
          </cell>
          <cell r="F1217" t="str">
            <v>YARA PERÚ SRL</v>
          </cell>
          <cell r="P1217">
            <v>15.74</v>
          </cell>
          <cell r="R1217" t="str">
            <v>CFR</v>
          </cell>
          <cell r="S1217">
            <v>9560</v>
          </cell>
          <cell r="Y1217">
            <v>44159</v>
          </cell>
          <cell r="AF1217" t="str">
            <v>PAITA</v>
          </cell>
        </row>
        <row r="1218">
          <cell r="C1218" t="str">
            <v>MF-332/20</v>
          </cell>
          <cell r="E1218" t="str">
            <v>CR - MAG BIGBAG</v>
          </cell>
          <cell r="F1218" t="str">
            <v>TIMAB</v>
          </cell>
          <cell r="P1218">
            <v>100</v>
          </cell>
          <cell r="R1218" t="str">
            <v>CIF</v>
          </cell>
          <cell r="S1218">
            <v>345</v>
          </cell>
          <cell r="Y1218">
            <v>44195</v>
          </cell>
          <cell r="AF1218" t="str">
            <v>CALLAO</v>
          </cell>
        </row>
        <row r="1219">
          <cell r="C1219" t="str">
            <v>MF-333/20</v>
          </cell>
          <cell r="E1219" t="str">
            <v>SULFATO DE ZINC HEPTAHIDRATADO</v>
          </cell>
          <cell r="F1219" t="str">
            <v>WEGROW AG</v>
          </cell>
          <cell r="P1219">
            <v>297</v>
          </cell>
          <cell r="R1219" t="str">
            <v>CPT</v>
          </cell>
          <cell r="S1219">
            <v>505</v>
          </cell>
          <cell r="Y1219">
            <v>44197</v>
          </cell>
          <cell r="AF1219" t="str">
            <v>PAITA</v>
          </cell>
        </row>
        <row r="1220">
          <cell r="C1220" t="str">
            <v>MF-334/20</v>
          </cell>
          <cell r="E1220" t="str">
            <v>SULFATO DE ZINC HEPTAHIDRATADO</v>
          </cell>
          <cell r="F1220" t="str">
            <v>WEGROW AG</v>
          </cell>
          <cell r="P1220">
            <v>46.25</v>
          </cell>
          <cell r="R1220" t="str">
            <v>CFR</v>
          </cell>
          <cell r="S1220">
            <v>447</v>
          </cell>
          <cell r="Y1220">
            <v>44195</v>
          </cell>
          <cell r="AF1220" t="str">
            <v>CALLAO</v>
          </cell>
        </row>
        <row r="1221">
          <cell r="C1221" t="str">
            <v>MF-335/20</v>
          </cell>
          <cell r="E1221" t="str">
            <v>SULFATO DE ZINC HEPTAHIDRATADO</v>
          </cell>
          <cell r="F1221" t="str">
            <v>WEGROW AG</v>
          </cell>
          <cell r="P1221">
            <v>13.75</v>
          </cell>
          <cell r="R1221" t="str">
            <v>CFR</v>
          </cell>
          <cell r="S1221">
            <v>458</v>
          </cell>
          <cell r="Y1221">
            <v>44162</v>
          </cell>
          <cell r="AF1221" t="str">
            <v>PAITA</v>
          </cell>
        </row>
        <row r="1222">
          <cell r="C1222" t="str">
            <v>MF-336A/20</v>
          </cell>
          <cell r="E1222" t="str">
            <v>NITRATO DE POTASIO CRISTALIZADO</v>
          </cell>
          <cell r="F1222" t="str">
            <v>WEGROW AG</v>
          </cell>
          <cell r="P1222">
            <v>264</v>
          </cell>
          <cell r="R1222" t="str">
            <v>CPT</v>
          </cell>
          <cell r="S1222">
            <v>626</v>
          </cell>
          <cell r="Y1222">
            <v>44168</v>
          </cell>
          <cell r="AF1222" t="str">
            <v>CALLAO</v>
          </cell>
        </row>
        <row r="1223">
          <cell r="C1223" t="str">
            <v>MF-336B.1/20</v>
          </cell>
          <cell r="E1223" t="str">
            <v>NITRATO DE POTASIO CRISTALIZADO</v>
          </cell>
          <cell r="F1223" t="str">
            <v>WEGROW AG</v>
          </cell>
          <cell r="P1223">
            <v>336</v>
          </cell>
          <cell r="R1223" t="str">
            <v>CPT</v>
          </cell>
          <cell r="S1223">
            <v>630</v>
          </cell>
          <cell r="Y1223">
            <v>44175</v>
          </cell>
          <cell r="AF1223" t="str">
            <v>PAITA</v>
          </cell>
        </row>
        <row r="1224">
          <cell r="C1224" t="str">
            <v>MF-336B.2/20</v>
          </cell>
          <cell r="E1224" t="str">
            <v>NITRATO DE POTASIO CRISTALIZADO</v>
          </cell>
          <cell r="F1224" t="str">
            <v>WEGROW AG</v>
          </cell>
          <cell r="P1224">
            <v>168</v>
          </cell>
          <cell r="R1224" t="str">
            <v>CPT</v>
          </cell>
          <cell r="S1224">
            <v>630</v>
          </cell>
          <cell r="Y1224">
            <v>44175</v>
          </cell>
          <cell r="AF1224" t="str">
            <v>PAITA</v>
          </cell>
        </row>
        <row r="1225">
          <cell r="C1225" t="str">
            <v>MF-337/20</v>
          </cell>
          <cell r="E1225" t="str">
            <v>SULFATO DE POTASIO GRANULAR</v>
          </cell>
          <cell r="F1225" t="str">
            <v>EVA-FERT AG</v>
          </cell>
          <cell r="P1225">
            <v>160</v>
          </cell>
          <cell r="R1225" t="str">
            <v>CFR</v>
          </cell>
          <cell r="S1225">
            <v>452</v>
          </cell>
          <cell r="Y1225">
            <v>44171</v>
          </cell>
          <cell r="AF1225" t="str">
            <v>MATARANI</v>
          </cell>
        </row>
        <row r="1226">
          <cell r="C1226" t="str">
            <v>MF-338/20</v>
          </cell>
          <cell r="E1226" t="str">
            <v>SULFATO DE POTASIO GRANULAR - FO PREMIUM</v>
          </cell>
          <cell r="F1226" t="str">
            <v>K+S Minerals and Agriculture GmbH</v>
          </cell>
          <cell r="P1226">
            <v>476.08600000000001</v>
          </cell>
          <cell r="R1226" t="str">
            <v>CPT</v>
          </cell>
          <cell r="S1226">
            <v>430</v>
          </cell>
          <cell r="Y1226">
            <v>44175</v>
          </cell>
          <cell r="AF1226" t="str">
            <v>CALLAO</v>
          </cell>
        </row>
        <row r="1227">
          <cell r="C1227" t="str">
            <v>MF-339.1/20</v>
          </cell>
          <cell r="E1227" t="str">
            <v>YARATERA CALCINIT X 25KG</v>
          </cell>
          <cell r="F1227" t="str">
            <v>YARA PERÚ SRL</v>
          </cell>
          <cell r="P1227">
            <v>750</v>
          </cell>
          <cell r="R1227" t="str">
            <v>CFR</v>
          </cell>
          <cell r="S1227">
            <v>243.24</v>
          </cell>
          <cell r="Y1227">
            <v>44120</v>
          </cell>
          <cell r="AF1227" t="str">
            <v>CALLAO</v>
          </cell>
        </row>
        <row r="1228">
          <cell r="C1228" t="str">
            <v>MF-339.2.1/20</v>
          </cell>
          <cell r="E1228" t="str">
            <v>BOLSA YARAMILA TRISTAR X 50KG</v>
          </cell>
          <cell r="F1228" t="str">
            <v>YARA PERÚ SRL</v>
          </cell>
          <cell r="P1228">
            <v>6750</v>
          </cell>
          <cell r="R1228" t="str">
            <v>CFR</v>
          </cell>
          <cell r="S1228">
            <v>0.31</v>
          </cell>
          <cell r="Y1228">
            <v>44120</v>
          </cell>
          <cell r="AF1228" t="str">
            <v>CALLAO</v>
          </cell>
        </row>
        <row r="1229">
          <cell r="C1229" t="str">
            <v>MF-339.2.2/20</v>
          </cell>
          <cell r="E1229" t="str">
            <v>BOLSA YARAMILA KABAL X 50KG</v>
          </cell>
          <cell r="F1229" t="str">
            <v>YARA PERÚ SRL</v>
          </cell>
          <cell r="P1229">
            <v>5700</v>
          </cell>
          <cell r="R1229" t="str">
            <v>CFR</v>
          </cell>
          <cell r="S1229">
            <v>0.31</v>
          </cell>
          <cell r="Y1229">
            <v>44120</v>
          </cell>
          <cell r="AF1229" t="str">
            <v>CALLAO</v>
          </cell>
        </row>
        <row r="1230">
          <cell r="C1230" t="str">
            <v>MF-339.2.3/20</v>
          </cell>
          <cell r="E1230" t="str">
            <v>BOLSA YARAMILA KABAL PLUS X 50KG</v>
          </cell>
          <cell r="F1230" t="str">
            <v>YARA PERÚ SRL</v>
          </cell>
          <cell r="P1230">
            <v>500</v>
          </cell>
          <cell r="R1230" t="str">
            <v>CFR</v>
          </cell>
          <cell r="S1230">
            <v>0.31</v>
          </cell>
          <cell r="Y1230">
            <v>44120</v>
          </cell>
          <cell r="AF1230" t="str">
            <v>CALLAO</v>
          </cell>
        </row>
        <row r="1231">
          <cell r="C1231" t="str">
            <v>MF-340A1/20</v>
          </cell>
          <cell r="E1231" t="str">
            <v>POLISULFATO GRANULADO</v>
          </cell>
          <cell r="F1231" t="str">
            <v>ICL EUROPE COOPERATIEF U.A.</v>
          </cell>
          <cell r="P1231">
            <v>149.58000000000001</v>
          </cell>
          <cell r="R1231" t="str">
            <v>CFR</v>
          </cell>
          <cell r="S1231">
            <v>220</v>
          </cell>
          <cell r="Y1231">
            <v>44190</v>
          </cell>
          <cell r="AF1231" t="str">
            <v>CALLAO</v>
          </cell>
        </row>
        <row r="1232">
          <cell r="C1232" t="str">
            <v>MF-340A2/20</v>
          </cell>
          <cell r="E1232" t="str">
            <v>POLISULFATO GRANULADO</v>
          </cell>
          <cell r="F1232" t="str">
            <v>ICL EUROPE COOPERATIEF U.A.</v>
          </cell>
          <cell r="P1232">
            <v>108.16</v>
          </cell>
          <cell r="R1232" t="str">
            <v>CFR</v>
          </cell>
          <cell r="S1232">
            <v>220</v>
          </cell>
          <cell r="Y1232">
            <v>44333</v>
          </cell>
          <cell r="AF1232" t="str">
            <v>CALLAO</v>
          </cell>
        </row>
        <row r="1233">
          <cell r="C1233" t="str">
            <v>MF-341B1/20</v>
          </cell>
          <cell r="E1233" t="str">
            <v>POLISULFATO GRANULADO</v>
          </cell>
          <cell r="F1233" t="str">
            <v>ICL EUROPE COOPERATIEF U.A.</v>
          </cell>
          <cell r="P1233">
            <v>307.12</v>
          </cell>
          <cell r="R1233" t="str">
            <v>CFR</v>
          </cell>
          <cell r="S1233">
            <v>220</v>
          </cell>
          <cell r="Y1233">
            <v>44190</v>
          </cell>
          <cell r="AF1233" t="str">
            <v>PAITA</v>
          </cell>
        </row>
        <row r="1234">
          <cell r="C1234" t="str">
            <v>MF-341B2/20</v>
          </cell>
          <cell r="E1234" t="str">
            <v>POLISULFATO GRANULADO</v>
          </cell>
          <cell r="F1234" t="str">
            <v>ICL EUROPE COOPERATIEF U.A.</v>
          </cell>
          <cell r="P1234">
            <v>149.86000000000001</v>
          </cell>
          <cell r="R1234" t="str">
            <v>CFR</v>
          </cell>
          <cell r="S1234">
            <v>220</v>
          </cell>
          <cell r="Y1234">
            <v>44225</v>
          </cell>
          <cell r="AF1234" t="str">
            <v>PAITA</v>
          </cell>
        </row>
        <row r="1235">
          <cell r="C1235" t="str">
            <v>MF-342/20</v>
          </cell>
          <cell r="E1235" t="str">
            <v>POLISULFATO GRANULADO</v>
          </cell>
          <cell r="F1235" t="str">
            <v>ICL EUROPE COOPERATIEF U.A.</v>
          </cell>
          <cell r="P1235">
            <v>195.56</v>
          </cell>
          <cell r="R1235" t="str">
            <v>CFR</v>
          </cell>
          <cell r="S1235">
            <v>242</v>
          </cell>
          <cell r="Y1235">
            <v>44274</v>
          </cell>
          <cell r="AF1235" t="str">
            <v>MATARANI</v>
          </cell>
        </row>
        <row r="1236">
          <cell r="C1236" t="str">
            <v>MF-343/20</v>
          </cell>
          <cell r="E1236" t="str">
            <v>YARALIVA NITRABOR A GRANEL</v>
          </cell>
          <cell r="F1236" t="str">
            <v>YARA PERÚ SRL</v>
          </cell>
          <cell r="P1236">
            <v>79.504999999999995</v>
          </cell>
          <cell r="R1236" t="str">
            <v>CFR</v>
          </cell>
          <cell r="S1236">
            <v>275.10000000000002</v>
          </cell>
          <cell r="Y1236">
            <v>44153</v>
          </cell>
          <cell r="AF1236" t="str">
            <v>PAITA</v>
          </cell>
        </row>
        <row r="1237">
          <cell r="C1237" t="str">
            <v>MF-344/20</v>
          </cell>
          <cell r="E1237" t="str">
            <v>SULFATO DE MAGNESIO HEPTAHIDRATADO ORG X 25KG - EPSOTOP</v>
          </cell>
          <cell r="F1237" t="str">
            <v>K+S Minerals and Agriculture GmbH</v>
          </cell>
          <cell r="P1237">
            <v>105</v>
          </cell>
          <cell r="R1237" t="str">
            <v>CFR</v>
          </cell>
          <cell r="S1237">
            <v>315</v>
          </cell>
          <cell r="Y1237">
            <v>44167</v>
          </cell>
          <cell r="AF1237" t="str">
            <v>PAITA</v>
          </cell>
        </row>
        <row r="1238">
          <cell r="C1238" t="str">
            <v>MF-345/20</v>
          </cell>
          <cell r="E1238" t="str">
            <v>UREA ADBLUE (BIG BAG)</v>
          </cell>
          <cell r="F1238" t="str">
            <v>PHOSAGRO</v>
          </cell>
          <cell r="P1238">
            <v>614.4</v>
          </cell>
          <cell r="R1238" t="str">
            <v>CFR</v>
          </cell>
          <cell r="S1238">
            <v>320</v>
          </cell>
          <cell r="Y1238">
            <v>44224</v>
          </cell>
          <cell r="AF1238" t="str">
            <v>CALLAO</v>
          </cell>
        </row>
        <row r="1239">
          <cell r="C1239" t="str">
            <v>MF-346A/20</v>
          </cell>
          <cell r="E1239" t="str">
            <v>UREA GRANULADA</v>
          </cell>
          <cell r="F1239" t="str">
            <v>PHOSAGRO (MITSUI)</v>
          </cell>
          <cell r="P1239">
            <v>900</v>
          </cell>
          <cell r="R1239" t="str">
            <v>CFR</v>
          </cell>
          <cell r="S1239">
            <v>290.83</v>
          </cell>
          <cell r="Y1239">
            <v>44177</v>
          </cell>
          <cell r="AF1239" t="str">
            <v>PAITA</v>
          </cell>
        </row>
        <row r="1240">
          <cell r="C1240" t="str">
            <v>MF-346B/20</v>
          </cell>
          <cell r="E1240" t="str">
            <v>UREA GRANULADA</v>
          </cell>
          <cell r="F1240" t="str">
            <v>PHOSAGRO (MITSUI)</v>
          </cell>
          <cell r="P1240">
            <v>1200</v>
          </cell>
          <cell r="R1240" t="str">
            <v>CFR</v>
          </cell>
          <cell r="S1240">
            <v>290.83</v>
          </cell>
          <cell r="Y1240">
            <v>44180</v>
          </cell>
          <cell r="AF1240" t="str">
            <v>SALAVERRY</v>
          </cell>
        </row>
        <row r="1241">
          <cell r="C1241" t="str">
            <v>MF-346C/20</v>
          </cell>
          <cell r="E1241" t="str">
            <v>UREA GRANULADA</v>
          </cell>
          <cell r="F1241" t="str">
            <v>PHOSAGRO (MITSUI)</v>
          </cell>
          <cell r="P1241">
            <v>300</v>
          </cell>
          <cell r="R1241" t="str">
            <v>CFR</v>
          </cell>
          <cell r="S1241">
            <v>290.83</v>
          </cell>
          <cell r="Y1241">
            <v>44183</v>
          </cell>
          <cell r="AF1241" t="str">
            <v>CALLAO</v>
          </cell>
        </row>
        <row r="1242">
          <cell r="C1242" t="str">
            <v>MF-346D/20</v>
          </cell>
          <cell r="E1242" t="str">
            <v>UREA GRANULADA</v>
          </cell>
          <cell r="F1242" t="str">
            <v>PHOSAGRO (MITSUI)</v>
          </cell>
          <cell r="P1242">
            <v>750</v>
          </cell>
          <cell r="R1242" t="str">
            <v>CFR</v>
          </cell>
          <cell r="S1242">
            <v>290.83</v>
          </cell>
          <cell r="Y1242">
            <v>44186</v>
          </cell>
          <cell r="AF1242" t="str">
            <v>MATARANI</v>
          </cell>
        </row>
        <row r="1243">
          <cell r="C1243" t="str">
            <v>MF-347A/20</v>
          </cell>
          <cell r="E1243" t="str">
            <v>UREA PERLADA</v>
          </cell>
          <cell r="F1243" t="str">
            <v>PHOSAGRO (MITSUI)</v>
          </cell>
          <cell r="P1243">
            <v>1500</v>
          </cell>
          <cell r="R1243" t="str">
            <v>CFR</v>
          </cell>
          <cell r="S1243">
            <v>288.8</v>
          </cell>
          <cell r="Y1243">
            <v>44177</v>
          </cell>
          <cell r="AF1243" t="str">
            <v>PAITA</v>
          </cell>
        </row>
        <row r="1244">
          <cell r="C1244" t="str">
            <v>MF-347B/20</v>
          </cell>
          <cell r="E1244" t="str">
            <v>UREA PERLADA</v>
          </cell>
          <cell r="F1244" t="str">
            <v>PHOSAGRO (MITSUI)</v>
          </cell>
          <cell r="P1244">
            <v>2200</v>
          </cell>
          <cell r="R1244" t="str">
            <v>CFR</v>
          </cell>
          <cell r="S1244">
            <v>288.8</v>
          </cell>
          <cell r="Y1244">
            <v>44180</v>
          </cell>
          <cell r="AF1244" t="str">
            <v>SALAVERRY</v>
          </cell>
        </row>
        <row r="1245">
          <cell r="C1245" t="str">
            <v>MF-347C/20</v>
          </cell>
          <cell r="E1245" t="str">
            <v>UREA PERLADA</v>
          </cell>
          <cell r="F1245" t="str">
            <v>PHOSAGRO (MITSUI)</v>
          </cell>
          <cell r="P1245">
            <v>2650</v>
          </cell>
          <cell r="R1245" t="str">
            <v>CFR</v>
          </cell>
          <cell r="S1245">
            <v>288.8</v>
          </cell>
          <cell r="Y1245">
            <v>44183</v>
          </cell>
          <cell r="AF1245" t="str">
            <v>CALLAO</v>
          </cell>
        </row>
        <row r="1246">
          <cell r="C1246" t="str">
            <v>MF-347D/20</v>
          </cell>
          <cell r="E1246" t="str">
            <v>UREA PERLADA</v>
          </cell>
          <cell r="F1246" t="str">
            <v>PHOSAGRO (MITSUI)</v>
          </cell>
          <cell r="P1246">
            <v>1058</v>
          </cell>
          <cell r="R1246" t="str">
            <v>CFR</v>
          </cell>
          <cell r="S1246">
            <v>288.8</v>
          </cell>
          <cell r="Y1246">
            <v>44186</v>
          </cell>
          <cell r="AF1246" t="str">
            <v>MATARANI</v>
          </cell>
        </row>
        <row r="1247">
          <cell r="C1247" t="str">
            <v>MF-348/20</v>
          </cell>
          <cell r="E1247" t="str">
            <v>YARATERA CALCINIT X 25KG</v>
          </cell>
          <cell r="F1247" t="str">
            <v>YARA PERÚ SRL</v>
          </cell>
          <cell r="P1247">
            <v>775</v>
          </cell>
          <cell r="R1247" t="str">
            <v>CFR</v>
          </cell>
          <cell r="S1247">
            <v>243.24</v>
          </cell>
          <cell r="Y1247">
            <v>44132</v>
          </cell>
          <cell r="AF1247" t="str">
            <v>PAITA</v>
          </cell>
        </row>
        <row r="1248">
          <cell r="C1248" t="str">
            <v>MF-349/20</v>
          </cell>
          <cell r="E1248" t="str">
            <v>YARATERA CALCINIT X 25KG</v>
          </cell>
          <cell r="F1248" t="str">
            <v>YARA PERÚ SRL</v>
          </cell>
          <cell r="P1248">
            <v>125</v>
          </cell>
          <cell r="R1248" t="str">
            <v>CFR</v>
          </cell>
          <cell r="S1248">
            <v>242.07</v>
          </cell>
          <cell r="Y1248">
            <v>44155</v>
          </cell>
          <cell r="AF1248" t="str">
            <v>MATARANI</v>
          </cell>
        </row>
        <row r="1249">
          <cell r="C1249" t="str">
            <v>MF-350/20</v>
          </cell>
          <cell r="E1249" t="str">
            <v>ÁCIDO FOSFÓRICO</v>
          </cell>
          <cell r="F1249" t="str">
            <v>NITRON GROUP LLC</v>
          </cell>
          <cell r="P1249">
            <v>456</v>
          </cell>
          <cell r="R1249" t="str">
            <v>CFR</v>
          </cell>
          <cell r="S1249">
            <v>880</v>
          </cell>
          <cell r="Y1249">
            <v>44204</v>
          </cell>
          <cell r="AF1249" t="str">
            <v>CALLAO</v>
          </cell>
        </row>
        <row r="1250">
          <cell r="C1250" t="str">
            <v>MF-351A/20</v>
          </cell>
          <cell r="E1250" t="str">
            <v>SULFATO DE POTASIO SOLUBLE</v>
          </cell>
          <cell r="F1250" t="str">
            <v>YARA SWITZERLAND LTD</v>
          </cell>
          <cell r="P1250">
            <v>672</v>
          </cell>
          <cell r="R1250" t="str">
            <v>CPT</v>
          </cell>
          <cell r="S1250">
            <v>432</v>
          </cell>
          <cell r="Y1250">
            <v>44286</v>
          </cell>
          <cell r="AF1250" t="str">
            <v>PAITA</v>
          </cell>
        </row>
        <row r="1251">
          <cell r="C1251" t="str">
            <v>MF-351B/20</v>
          </cell>
          <cell r="E1251" t="str">
            <v>SULFATO DE POTASIO SOLUBLE</v>
          </cell>
          <cell r="F1251" t="str">
            <v>YARA SWITZERLAND LTD</v>
          </cell>
          <cell r="P1251">
            <v>504</v>
          </cell>
          <cell r="R1251" t="str">
            <v>CPT</v>
          </cell>
          <cell r="S1251">
            <v>427</v>
          </cell>
          <cell r="Y1251">
            <v>44317</v>
          </cell>
          <cell r="AF1251" t="str">
            <v>PAITA</v>
          </cell>
        </row>
        <row r="1252">
          <cell r="C1252" t="str">
            <v>MF-352/20</v>
          </cell>
          <cell r="E1252" t="str">
            <v>NITRATO DE MAGNESIO HEXAHIDRATADO</v>
          </cell>
          <cell r="F1252" t="str">
            <v>EVA-FERT AG</v>
          </cell>
          <cell r="P1252">
            <v>250</v>
          </cell>
          <cell r="R1252" t="str">
            <v>CFR</v>
          </cell>
          <cell r="S1252">
            <v>234</v>
          </cell>
          <cell r="Y1252">
            <v>44236</v>
          </cell>
          <cell r="AF1252" t="str">
            <v>CALLAO</v>
          </cell>
        </row>
        <row r="1253">
          <cell r="C1253" t="str">
            <v>MF-353/20</v>
          </cell>
          <cell r="E1253" t="str">
            <v>FOSFATO MONOAMÓNICO CRISTALIZADO</v>
          </cell>
          <cell r="F1253" t="str">
            <v>WEGROW AG</v>
          </cell>
          <cell r="P1253">
            <v>0</v>
          </cell>
          <cell r="R1253">
            <v>0</v>
          </cell>
          <cell r="S1253">
            <v>0</v>
          </cell>
          <cell r="Y1253">
            <v>0</v>
          </cell>
          <cell r="AF1253">
            <v>0</v>
          </cell>
        </row>
        <row r="1254">
          <cell r="C1254" t="str">
            <v>MF-354.1/20</v>
          </cell>
          <cell r="E1254" t="str">
            <v>NITRATO DE POTASIO CRISTALIZADO</v>
          </cell>
          <cell r="F1254" t="str">
            <v>WEGROW AG</v>
          </cell>
          <cell r="P1254">
            <v>0</v>
          </cell>
          <cell r="R1254">
            <v>0</v>
          </cell>
          <cell r="S1254">
            <v>0</v>
          </cell>
          <cell r="Y1254">
            <v>0</v>
          </cell>
          <cell r="AF1254">
            <v>0</v>
          </cell>
        </row>
        <row r="1255">
          <cell r="C1255" t="str">
            <v>MF-354.2/20</v>
          </cell>
          <cell r="E1255" t="str">
            <v>NITRATO DE POTASIO CRISTALIZADO</v>
          </cell>
          <cell r="F1255" t="str">
            <v>WEGROW AG</v>
          </cell>
          <cell r="P1255">
            <v>0</v>
          </cell>
          <cell r="R1255">
            <v>0</v>
          </cell>
          <cell r="S1255">
            <v>0</v>
          </cell>
          <cell r="Y1255">
            <v>0</v>
          </cell>
          <cell r="AF1255">
            <v>0</v>
          </cell>
        </row>
        <row r="1256">
          <cell r="C1256" t="str">
            <v>MF-354.3/20</v>
          </cell>
          <cell r="E1256" t="str">
            <v>NITRATO DE POTASIO CRISTALIZADO</v>
          </cell>
          <cell r="F1256" t="str">
            <v>WEGROW AG</v>
          </cell>
          <cell r="P1256">
            <v>0</v>
          </cell>
          <cell r="R1256">
            <v>0</v>
          </cell>
          <cell r="S1256">
            <v>0</v>
          </cell>
          <cell r="Y1256">
            <v>0</v>
          </cell>
          <cell r="AF1256">
            <v>0</v>
          </cell>
        </row>
        <row r="1257">
          <cell r="C1257" t="str">
            <v>MF-355A/20</v>
          </cell>
          <cell r="E1257" t="str">
            <v>SULFATO DE POTASIO GRANULAR</v>
          </cell>
          <cell r="F1257" t="str">
            <v>K+S Minerals and Agriculture GmbH</v>
          </cell>
          <cell r="P1257">
            <v>308.06400000000002</v>
          </cell>
          <cell r="R1257" t="str">
            <v>CPT</v>
          </cell>
          <cell r="S1257">
            <v>423</v>
          </cell>
          <cell r="Y1257">
            <v>44203</v>
          </cell>
          <cell r="AF1257" t="str">
            <v>CALLAO</v>
          </cell>
        </row>
        <row r="1258">
          <cell r="C1258" t="str">
            <v>MF-355B/20</v>
          </cell>
          <cell r="E1258" t="str">
            <v>SULFATO DE POTASIO GRANULAR</v>
          </cell>
          <cell r="F1258" t="str">
            <v>K+S Minerals and Agriculture GmbH</v>
          </cell>
          <cell r="P1258">
            <v>112.026</v>
          </cell>
          <cell r="R1258" t="str">
            <v>CPT</v>
          </cell>
          <cell r="S1258">
            <v>423</v>
          </cell>
          <cell r="Y1258">
            <v>44202</v>
          </cell>
          <cell r="AF1258" t="str">
            <v>PAITA</v>
          </cell>
        </row>
        <row r="1259">
          <cell r="C1259" t="str">
            <v>MF-356A/20</v>
          </cell>
          <cell r="E1259" t="str">
            <v>FOSFATO MONOAMÓNICO CRISTALIZADO</v>
          </cell>
          <cell r="F1259" t="str">
            <v>YARA SWITZERLAND LTD</v>
          </cell>
          <cell r="P1259">
            <v>150</v>
          </cell>
          <cell r="R1259" t="str">
            <v>CPT</v>
          </cell>
          <cell r="S1259">
            <v>603</v>
          </cell>
          <cell r="Y1259">
            <v>44217</v>
          </cell>
          <cell r="AF1259" t="str">
            <v>CALLAO</v>
          </cell>
        </row>
        <row r="1260">
          <cell r="C1260" t="str">
            <v>MF-356B/20</v>
          </cell>
          <cell r="E1260" t="str">
            <v>FOSFATO MONOAMÓNICO CRISTALIZADO</v>
          </cell>
          <cell r="F1260" t="str">
            <v>YARA SWITZERLAND LTD</v>
          </cell>
          <cell r="P1260">
            <v>150</v>
          </cell>
          <cell r="R1260" t="str">
            <v>CPT</v>
          </cell>
          <cell r="S1260">
            <v>613</v>
          </cell>
          <cell r="Y1260">
            <v>44631</v>
          </cell>
          <cell r="AF1260" t="str">
            <v>PAITA</v>
          </cell>
        </row>
        <row r="1261">
          <cell r="C1261" t="str">
            <v>MF-357.1/20</v>
          </cell>
          <cell r="E1261" t="str">
            <v>NITRATO DE POTASIO CRISTALIZADO</v>
          </cell>
          <cell r="F1261" t="str">
            <v>WEGROW AG</v>
          </cell>
          <cell r="P1261">
            <v>312</v>
          </cell>
          <cell r="R1261" t="str">
            <v>CFR</v>
          </cell>
          <cell r="S1261">
            <v>626</v>
          </cell>
          <cell r="Y1261">
            <v>44204</v>
          </cell>
          <cell r="AF1261" t="str">
            <v>PAITA</v>
          </cell>
        </row>
        <row r="1262">
          <cell r="C1262" t="str">
            <v>MF-357.2/20</v>
          </cell>
          <cell r="E1262" t="str">
            <v>NITRATO DE POTASIO CRISTALIZADO</v>
          </cell>
          <cell r="F1262" t="str">
            <v>WEGROW AG</v>
          </cell>
          <cell r="P1262">
            <v>240</v>
          </cell>
          <cell r="R1262" t="str">
            <v>CPT</v>
          </cell>
          <cell r="S1262">
            <v>626</v>
          </cell>
          <cell r="Y1262">
            <v>44239</v>
          </cell>
          <cell r="AF1262" t="str">
            <v>PAITA</v>
          </cell>
        </row>
        <row r="1263">
          <cell r="C1263" t="str">
            <v>MF-358.1/20</v>
          </cell>
          <cell r="E1263" t="str">
            <v>NITRATO DE POTASIO CRISTALIZADO</v>
          </cell>
          <cell r="F1263" t="str">
            <v>WEGROW AG</v>
          </cell>
          <cell r="P1263">
            <v>240</v>
          </cell>
          <cell r="R1263" t="str">
            <v>CFR</v>
          </cell>
          <cell r="S1263">
            <v>622</v>
          </cell>
          <cell r="Y1263">
            <v>44193</v>
          </cell>
          <cell r="AF1263" t="str">
            <v>CALLAO</v>
          </cell>
        </row>
        <row r="1264">
          <cell r="C1264" t="str">
            <v>MF-358.2/20</v>
          </cell>
          <cell r="E1264" t="str">
            <v>NITRATO DE POTASIO CRISTALIZADO</v>
          </cell>
          <cell r="F1264" t="str">
            <v>WEGROW AG</v>
          </cell>
          <cell r="P1264">
            <v>336</v>
          </cell>
          <cell r="R1264" t="str">
            <v>CFR</v>
          </cell>
          <cell r="S1264">
            <v>622</v>
          </cell>
          <cell r="Y1264">
            <v>44193</v>
          </cell>
          <cell r="AF1264" t="str">
            <v>CALLAO</v>
          </cell>
        </row>
        <row r="1265">
          <cell r="C1265" t="str">
            <v>MF-358.3/20</v>
          </cell>
          <cell r="E1265" t="str">
            <v>NITRATO DE POTASIO CRISTALIZADO</v>
          </cell>
          <cell r="F1265" t="str">
            <v>WEGROW AG</v>
          </cell>
          <cell r="P1265">
            <v>480</v>
          </cell>
          <cell r="R1265" t="str">
            <v>CFR</v>
          </cell>
          <cell r="S1265">
            <v>622</v>
          </cell>
          <cell r="Y1265">
            <v>44206</v>
          </cell>
          <cell r="AF1265" t="str">
            <v>CALLAO</v>
          </cell>
        </row>
        <row r="1266">
          <cell r="C1266" t="str">
            <v>MF-358.4/20</v>
          </cell>
          <cell r="E1266" t="str">
            <v>NITRATO DE POTASIO CRISTALIZADO</v>
          </cell>
          <cell r="F1266" t="str">
            <v>WEGROW AG</v>
          </cell>
          <cell r="P1266">
            <v>312</v>
          </cell>
          <cell r="R1266" t="str">
            <v>CFR</v>
          </cell>
          <cell r="S1266">
            <v>622</v>
          </cell>
          <cell r="Y1266">
            <v>44244</v>
          </cell>
          <cell r="AF1266" t="str">
            <v>CALLAO</v>
          </cell>
        </row>
        <row r="1267">
          <cell r="C1267" t="str">
            <v>MF-359/20</v>
          </cell>
          <cell r="E1267" t="str">
            <v>NITRATO DE POTASIO CRISTALIZADO</v>
          </cell>
          <cell r="F1267" t="str">
            <v>WEGROW AG</v>
          </cell>
          <cell r="P1267">
            <v>96</v>
          </cell>
          <cell r="R1267" t="str">
            <v>CFR</v>
          </cell>
          <cell r="S1267">
            <v>630</v>
          </cell>
          <cell r="Y1267">
            <v>44274</v>
          </cell>
          <cell r="AF1267" t="str">
            <v>MATARANI</v>
          </cell>
        </row>
        <row r="1268">
          <cell r="C1268" t="str">
            <v>MF-360/20</v>
          </cell>
          <cell r="E1268" t="str">
            <v>FOSFATO MONOAMÓNICO CRISTALIZADO</v>
          </cell>
          <cell r="F1268" t="str">
            <v>WEGROW AG</v>
          </cell>
          <cell r="P1268">
            <v>220</v>
          </cell>
          <cell r="R1268" t="str">
            <v>CFR</v>
          </cell>
          <cell r="S1268">
            <v>598</v>
          </cell>
          <cell r="Y1268">
            <v>44266</v>
          </cell>
          <cell r="AF1268" t="str">
            <v>MATARANI</v>
          </cell>
        </row>
        <row r="1269">
          <cell r="C1269" t="str">
            <v>MF-361/20</v>
          </cell>
          <cell r="E1269" t="str">
            <v>SULFATO DE ZINC HEPTAHIDRATADO</v>
          </cell>
          <cell r="F1269" t="str">
            <v>MITSUI &amp; CO., Ltda</v>
          </cell>
          <cell r="P1269">
            <v>200</v>
          </cell>
          <cell r="R1269" t="str">
            <v>CFR</v>
          </cell>
          <cell r="S1269">
            <v>509</v>
          </cell>
          <cell r="Y1269">
            <v>44236</v>
          </cell>
          <cell r="AF1269" t="str">
            <v>CALLAO</v>
          </cell>
        </row>
        <row r="1270">
          <cell r="C1270" t="str">
            <v>MF-362/20</v>
          </cell>
          <cell r="E1270" t="str">
            <v>YARALIVA NITRABOR A GRANEL</v>
          </cell>
          <cell r="F1270" t="str">
            <v>YARA PERÚ SRL</v>
          </cell>
          <cell r="P1270">
            <v>158.94999999999999</v>
          </cell>
          <cell r="R1270" t="str">
            <v>CFR</v>
          </cell>
          <cell r="S1270">
            <v>275.10000000000002</v>
          </cell>
          <cell r="Y1270">
            <v>44187</v>
          </cell>
          <cell r="AF1270" t="str">
            <v>PAITA</v>
          </cell>
        </row>
        <row r="1271">
          <cell r="C1271" t="str">
            <v>MF-363/20</v>
          </cell>
          <cell r="E1271" t="str">
            <v>YARAMILA KABAL PLUS NPK 10-30-10 X50KG</v>
          </cell>
          <cell r="F1271" t="str">
            <v>YARA PERÚ SRL</v>
          </cell>
          <cell r="P1271">
            <v>220</v>
          </cell>
          <cell r="R1271" t="str">
            <v>CFR</v>
          </cell>
          <cell r="S1271">
            <v>381</v>
          </cell>
          <cell r="Y1271">
            <v>44189</v>
          </cell>
          <cell r="AF1271" t="str">
            <v>CALLAO</v>
          </cell>
        </row>
        <row r="1272">
          <cell r="C1272" t="str">
            <v>MF-364/20</v>
          </cell>
          <cell r="E1272" t="str">
            <v>YARAMILA KABAL PLUS NPK 10-30-10 X50KG</v>
          </cell>
          <cell r="F1272" t="str">
            <v>YARA PERÚ SRL</v>
          </cell>
          <cell r="P1272">
            <v>110</v>
          </cell>
          <cell r="R1272" t="str">
            <v>CFR</v>
          </cell>
          <cell r="S1272">
            <v>381.5</v>
          </cell>
          <cell r="Y1272">
            <v>44187</v>
          </cell>
          <cell r="AF1272" t="str">
            <v>PAITA</v>
          </cell>
        </row>
        <row r="1273">
          <cell r="C1273" t="str">
            <v>MF-365/20</v>
          </cell>
          <cell r="E1273" t="str">
            <v>YARAMILA KABAL PLUS NPK 10-30-10 X50KG</v>
          </cell>
          <cell r="F1273" t="str">
            <v>YARA PERÚ SRL</v>
          </cell>
          <cell r="P1273">
            <v>1210</v>
          </cell>
          <cell r="R1273" t="str">
            <v>CFR</v>
          </cell>
          <cell r="S1273">
            <v>393.5</v>
          </cell>
          <cell r="Y1273">
            <v>44208</v>
          </cell>
          <cell r="AF1273" t="str">
            <v>MATARANI</v>
          </cell>
        </row>
        <row r="1274">
          <cell r="C1274" t="str">
            <v>MF-366/20</v>
          </cell>
          <cell r="E1274" t="str">
            <v>SULFATO DE ZINC HEPTAHIDRATADO</v>
          </cell>
          <cell r="F1274" t="str">
            <v>WEGROW AG</v>
          </cell>
          <cell r="P1274">
            <v>162</v>
          </cell>
          <cell r="R1274" t="str">
            <v>CPT</v>
          </cell>
          <cell r="S1274">
            <v>519</v>
          </cell>
          <cell r="Y1274">
            <v>44232</v>
          </cell>
          <cell r="AF1274" t="str">
            <v>PAITA</v>
          </cell>
        </row>
        <row r="1275">
          <cell r="C1275" t="str">
            <v>MF-367/20</v>
          </cell>
          <cell r="E1275" t="str">
            <v>YARATERA CALCINIT X 25KG</v>
          </cell>
          <cell r="F1275" t="str">
            <v>YARA PERÚ SRL</v>
          </cell>
          <cell r="P1275">
            <v>750</v>
          </cell>
          <cell r="R1275" t="str">
            <v>CFR</v>
          </cell>
          <cell r="S1275">
            <v>242.07</v>
          </cell>
          <cell r="Y1275">
            <v>44167</v>
          </cell>
          <cell r="AF1275" t="str">
            <v>PAITA</v>
          </cell>
        </row>
        <row r="1276">
          <cell r="C1276" t="str">
            <v>MF-368/20</v>
          </cell>
          <cell r="E1276" t="str">
            <v>YARATERA CALCINIT X 25KG</v>
          </cell>
          <cell r="F1276" t="str">
            <v>YARA PERÚ SRL</v>
          </cell>
          <cell r="P1276">
            <v>300</v>
          </cell>
          <cell r="R1276" t="str">
            <v>CFR</v>
          </cell>
          <cell r="S1276">
            <v>242.07</v>
          </cell>
          <cell r="Y1276">
            <v>44167</v>
          </cell>
          <cell r="AF1276" t="str">
            <v>PAITA</v>
          </cell>
        </row>
        <row r="1277">
          <cell r="C1277" t="str">
            <v>MF-369/20</v>
          </cell>
          <cell r="E1277" t="str">
            <v>YARATERA CALCINIT X 25KG</v>
          </cell>
          <cell r="F1277" t="str">
            <v>YARA PERÚ SRL</v>
          </cell>
          <cell r="P1277">
            <v>150</v>
          </cell>
          <cell r="R1277" t="str">
            <v>CFR</v>
          </cell>
          <cell r="S1277">
            <v>242.07</v>
          </cell>
          <cell r="Y1277">
            <v>44167</v>
          </cell>
          <cell r="AF1277" t="str">
            <v>PAITA</v>
          </cell>
        </row>
        <row r="1278">
          <cell r="C1278" t="str">
            <v>MF-370/20</v>
          </cell>
          <cell r="E1278" t="str">
            <v>YARATERA CALCINIT X 25KG</v>
          </cell>
          <cell r="F1278" t="str">
            <v>YARA PERÚ SRL</v>
          </cell>
          <cell r="P1278">
            <v>750</v>
          </cell>
          <cell r="R1278" t="str">
            <v>CFR</v>
          </cell>
          <cell r="S1278">
            <v>242.07</v>
          </cell>
          <cell r="Y1278">
            <v>44168</v>
          </cell>
          <cell r="AF1278" t="str">
            <v>CALLAO</v>
          </cell>
        </row>
        <row r="1279">
          <cell r="C1279" t="str">
            <v>MF-371/20</v>
          </cell>
          <cell r="E1279" t="str">
            <v>YARATERA CALCINIT X 25KG</v>
          </cell>
          <cell r="F1279" t="str">
            <v>YARA PERÚ SRL</v>
          </cell>
          <cell r="P1279">
            <v>350</v>
          </cell>
          <cell r="R1279" t="str">
            <v>CFR</v>
          </cell>
          <cell r="S1279">
            <v>242.07</v>
          </cell>
          <cell r="Y1279">
            <v>44154</v>
          </cell>
          <cell r="AF1279" t="str">
            <v>CALLAO</v>
          </cell>
        </row>
        <row r="1280">
          <cell r="C1280" t="str">
            <v>MF-372/20</v>
          </cell>
          <cell r="E1280" t="str">
            <v>YARATERA CALCINIT X 25KG</v>
          </cell>
          <cell r="F1280" t="str">
            <v>YARA PERÚ SRL</v>
          </cell>
          <cell r="P1280">
            <v>175</v>
          </cell>
          <cell r="R1280" t="str">
            <v>CFR</v>
          </cell>
          <cell r="S1280">
            <v>242.07</v>
          </cell>
          <cell r="Y1280">
            <v>44183</v>
          </cell>
          <cell r="AF1280" t="str">
            <v>MATARANI</v>
          </cell>
        </row>
        <row r="1281">
          <cell r="C1281" t="str">
            <v>MF-373/20</v>
          </cell>
          <cell r="E1281" t="str">
            <v>YARATERA CALCINIT X 25KG</v>
          </cell>
          <cell r="F1281" t="str">
            <v>YARA PERÚ SRL</v>
          </cell>
          <cell r="P1281">
            <v>775</v>
          </cell>
          <cell r="R1281" t="str">
            <v>CFR</v>
          </cell>
          <cell r="S1281">
            <v>233.09</v>
          </cell>
          <cell r="Y1281">
            <v>44174</v>
          </cell>
          <cell r="AF1281" t="str">
            <v>PAITA</v>
          </cell>
        </row>
        <row r="1282">
          <cell r="C1282" t="str">
            <v>MF-374/20</v>
          </cell>
          <cell r="E1282" t="str">
            <v>YARATERA CALCINIT X 25KG</v>
          </cell>
          <cell r="F1282" t="str">
            <v>YARA PERÚ SRL</v>
          </cell>
          <cell r="P1282">
            <v>350</v>
          </cell>
          <cell r="R1282" t="str">
            <v>CFR</v>
          </cell>
          <cell r="S1282">
            <v>233.09</v>
          </cell>
          <cell r="Y1282">
            <v>44181</v>
          </cell>
          <cell r="AF1282" t="str">
            <v>PAITA</v>
          </cell>
        </row>
        <row r="1283">
          <cell r="C1283" t="str">
            <v>MF-375/20</v>
          </cell>
          <cell r="E1283" t="str">
            <v>YARATERA CALCINIT X 25KG</v>
          </cell>
          <cell r="F1283" t="str">
            <v>YARA PERÚ SRL</v>
          </cell>
          <cell r="P1283">
            <v>250</v>
          </cell>
          <cell r="R1283" t="str">
            <v>CFR</v>
          </cell>
          <cell r="S1283">
            <v>233.09</v>
          </cell>
          <cell r="Y1283">
            <v>44195</v>
          </cell>
          <cell r="AF1283" t="str">
            <v>PAITA</v>
          </cell>
        </row>
        <row r="1284">
          <cell r="C1284" t="str">
            <v>MF-376/20</v>
          </cell>
          <cell r="E1284" t="str">
            <v>YARATERA CALCINIT X 25KG</v>
          </cell>
          <cell r="F1284" t="str">
            <v>YARA PERÚ SRL</v>
          </cell>
          <cell r="P1284">
            <v>450</v>
          </cell>
          <cell r="R1284" t="str">
            <v>CFR</v>
          </cell>
          <cell r="S1284">
            <v>233.09</v>
          </cell>
          <cell r="Y1284">
            <v>44189</v>
          </cell>
          <cell r="AF1284" t="str">
            <v>CALLAO</v>
          </cell>
        </row>
        <row r="1285">
          <cell r="C1285" t="str">
            <v>MF-377/20</v>
          </cell>
          <cell r="E1285" t="str">
            <v>YARATERA CALCINIT X 25KG</v>
          </cell>
          <cell r="F1285" t="str">
            <v>YARA PERÚ SRL</v>
          </cell>
          <cell r="P1285">
            <v>425</v>
          </cell>
          <cell r="R1285" t="str">
            <v>CFR</v>
          </cell>
          <cell r="S1285">
            <v>233.09</v>
          </cell>
          <cell r="Y1285">
            <v>44189</v>
          </cell>
          <cell r="AF1285" t="str">
            <v>CALLAO</v>
          </cell>
        </row>
        <row r="1286">
          <cell r="C1286" t="str">
            <v>MF-378/20</v>
          </cell>
          <cell r="E1286" t="str">
            <v>YARATERA CALCINIT X 25KG</v>
          </cell>
          <cell r="F1286" t="str">
            <v>YARA PERÚ SRL</v>
          </cell>
          <cell r="P1286">
            <v>225</v>
          </cell>
          <cell r="R1286" t="str">
            <v>CFR</v>
          </cell>
          <cell r="S1286">
            <v>233.09</v>
          </cell>
          <cell r="Y1286">
            <v>44197</v>
          </cell>
          <cell r="AF1286" t="str">
            <v>CALLAO</v>
          </cell>
        </row>
        <row r="1287">
          <cell r="C1287" t="str">
            <v>MF-379/20</v>
          </cell>
          <cell r="E1287" t="str">
            <v>YARATERA CALCINIT X 25KG</v>
          </cell>
          <cell r="F1287" t="str">
            <v>YARA PERÚ SRL</v>
          </cell>
          <cell r="P1287">
            <v>300</v>
          </cell>
          <cell r="R1287" t="str">
            <v>CFR</v>
          </cell>
          <cell r="S1287">
            <v>233.09</v>
          </cell>
          <cell r="Y1287">
            <v>44211</v>
          </cell>
          <cell r="AF1287" t="str">
            <v>MATARANI</v>
          </cell>
        </row>
        <row r="1288">
          <cell r="C1288" t="str">
            <v>MF-380/20</v>
          </cell>
          <cell r="E1288" t="str">
            <v>NITRATO DE POTASIO CRISTALIZADO ÁCIDO X25KG</v>
          </cell>
          <cell r="F1288" t="str">
            <v>ACF MINERA</v>
          </cell>
          <cell r="P1288">
            <v>120</v>
          </cell>
          <cell r="R1288" t="str">
            <v>CFR</v>
          </cell>
          <cell r="S1288">
            <v>680</v>
          </cell>
          <cell r="Y1288">
            <v>44236</v>
          </cell>
          <cell r="AF1288" t="str">
            <v>PAITA</v>
          </cell>
        </row>
        <row r="1289">
          <cell r="C1289" t="str">
            <v>MF-381.1/20</v>
          </cell>
          <cell r="E1289" t="str">
            <v xml:space="preserve">SULFATO DE MAGNESIO HEPTAHIDRATADO </v>
          </cell>
          <cell r="F1289" t="str">
            <v>STAR GRACE MINING CO.,LTD</v>
          </cell>
          <cell r="P1289">
            <v>350.4</v>
          </cell>
          <cell r="R1289" t="str">
            <v>CFR</v>
          </cell>
          <cell r="S1289">
            <v>99.5</v>
          </cell>
          <cell r="Y1289">
            <v>44248</v>
          </cell>
          <cell r="AF1289" t="str">
            <v>CALLAO</v>
          </cell>
        </row>
        <row r="1290">
          <cell r="C1290" t="str">
            <v>MF-381.2/20</v>
          </cell>
          <cell r="E1290" t="str">
            <v xml:space="preserve">SULFATO DE MAGNESIO HEPTAHIDRATADO </v>
          </cell>
          <cell r="F1290" t="str">
            <v>STAR GRACE MINING CO.,LTD</v>
          </cell>
          <cell r="P1290">
            <v>350.4</v>
          </cell>
          <cell r="R1290" t="str">
            <v>CFR</v>
          </cell>
          <cell r="S1290">
            <v>99.5</v>
          </cell>
          <cell r="Y1290">
            <v>44254</v>
          </cell>
          <cell r="AF1290" t="str">
            <v>CALLAO</v>
          </cell>
        </row>
        <row r="1291">
          <cell r="C1291" t="str">
            <v>MF-382/20</v>
          </cell>
          <cell r="E1291" t="str">
            <v xml:space="preserve">SULFATO DE MAGNESIO HEPTAHIDRATADO </v>
          </cell>
          <cell r="F1291" t="str">
            <v>STAR GRACE MINING CO.,LTD</v>
          </cell>
          <cell r="P1291">
            <v>150</v>
          </cell>
          <cell r="R1291" t="str">
            <v>CFR</v>
          </cell>
          <cell r="S1291">
            <v>109</v>
          </cell>
          <cell r="Y1291">
            <v>44266</v>
          </cell>
          <cell r="AF1291" t="str">
            <v>MATARANI</v>
          </cell>
        </row>
        <row r="1292">
          <cell r="C1292" t="str">
            <v>MF-383/20</v>
          </cell>
          <cell r="E1292" t="str">
            <v>SULFATO DE POTASIO SOLUBLE ORG X 25KG - HORTISUL</v>
          </cell>
          <cell r="F1292" t="str">
            <v>K+S Minerals and Agriculture GmbH</v>
          </cell>
          <cell r="P1292">
            <v>96</v>
          </cell>
          <cell r="R1292" t="str">
            <v>CFR</v>
          </cell>
          <cell r="S1292">
            <v>705</v>
          </cell>
          <cell r="Y1292">
            <v>44237</v>
          </cell>
          <cell r="AF1292" t="str">
            <v>PAITA</v>
          </cell>
        </row>
        <row r="1293">
          <cell r="C1293" t="str">
            <v>MF-384A/20</v>
          </cell>
          <cell r="E1293" t="str">
            <v>NITRATO DE AMONIO</v>
          </cell>
          <cell r="F1293" t="str">
            <v>URALCHEM (MITSUI)</v>
          </cell>
          <cell r="P1293">
            <v>1650</v>
          </cell>
          <cell r="R1293" t="str">
            <v>DAP</v>
          </cell>
          <cell r="S1293">
            <v>253</v>
          </cell>
          <cell r="Y1293">
            <v>44221</v>
          </cell>
          <cell r="AF1293" t="str">
            <v>PAITA</v>
          </cell>
        </row>
        <row r="1294">
          <cell r="C1294" t="str">
            <v>MF-384B/20</v>
          </cell>
          <cell r="E1294" t="str">
            <v>NITRATO DE AMONIO</v>
          </cell>
          <cell r="F1294" t="str">
            <v>URALCHEM (MITSUI)</v>
          </cell>
          <cell r="P1294">
            <v>1870</v>
          </cell>
          <cell r="R1294" t="str">
            <v>DAP</v>
          </cell>
          <cell r="S1294">
            <v>253</v>
          </cell>
          <cell r="Y1294">
            <v>44227</v>
          </cell>
          <cell r="AF1294" t="str">
            <v>SALAVERRY</v>
          </cell>
        </row>
        <row r="1295">
          <cell r="C1295" t="str">
            <v>MF-384C/20</v>
          </cell>
          <cell r="E1295" t="str">
            <v>NITRATO DE AMONIO</v>
          </cell>
          <cell r="F1295" t="str">
            <v>URALCHEM (MITSUI)</v>
          </cell>
          <cell r="P1295">
            <v>1540</v>
          </cell>
          <cell r="R1295" t="str">
            <v>DAP</v>
          </cell>
          <cell r="S1295">
            <v>253</v>
          </cell>
          <cell r="Y1295">
            <v>44236</v>
          </cell>
          <cell r="AF1295" t="str">
            <v>PISCO</v>
          </cell>
        </row>
        <row r="1296">
          <cell r="C1296" t="str">
            <v>MF-384D/20</v>
          </cell>
          <cell r="E1296" t="str">
            <v>NITRATO DE AMONIO</v>
          </cell>
          <cell r="F1296" t="str">
            <v>URALCHEM (MITSUI)</v>
          </cell>
          <cell r="P1296">
            <v>440</v>
          </cell>
          <cell r="R1296" t="str">
            <v>DAP</v>
          </cell>
          <cell r="S1296">
            <v>253</v>
          </cell>
          <cell r="Y1296">
            <v>44239</v>
          </cell>
          <cell r="AF1296" t="str">
            <v>MATARANI</v>
          </cell>
        </row>
        <row r="1297">
          <cell r="C1297" t="str">
            <v>MF-385A/20</v>
          </cell>
          <cell r="E1297" t="str">
            <v>UREA PERLADA</v>
          </cell>
          <cell r="F1297" t="str">
            <v>URALCHEM (MITSUI)</v>
          </cell>
          <cell r="P1297">
            <v>1100</v>
          </cell>
          <cell r="R1297" t="str">
            <v>DAP</v>
          </cell>
          <cell r="S1297">
            <v>294.64999999999998</v>
          </cell>
          <cell r="Y1297">
            <v>44239</v>
          </cell>
          <cell r="AF1297" t="str">
            <v>MATARANI</v>
          </cell>
        </row>
        <row r="1298">
          <cell r="C1298" t="str">
            <v>MF-386A/20</v>
          </cell>
          <cell r="E1298" t="str">
            <v>CLORURO DE POTASIO ROJO GRANULAR</v>
          </cell>
          <cell r="F1298" t="str">
            <v>URALKALI</v>
          </cell>
          <cell r="P1298">
            <v>1060</v>
          </cell>
          <cell r="R1298" t="str">
            <v>CFR</v>
          </cell>
          <cell r="S1298">
            <v>255</v>
          </cell>
          <cell r="Y1298">
            <v>44227</v>
          </cell>
          <cell r="AF1298" t="str">
            <v>SALAVERRY</v>
          </cell>
        </row>
        <row r="1299">
          <cell r="C1299" t="str">
            <v>MF-386B/20</v>
          </cell>
          <cell r="E1299" t="str">
            <v>CLORURO DE POTASIO ROJO GRANULAR</v>
          </cell>
          <cell r="F1299" t="str">
            <v>URALKALI</v>
          </cell>
          <cell r="P1299">
            <v>2300</v>
          </cell>
          <cell r="R1299" t="str">
            <v>CFR</v>
          </cell>
          <cell r="S1299">
            <v>255</v>
          </cell>
          <cell r="Y1299">
            <v>44230</v>
          </cell>
          <cell r="AF1299" t="str">
            <v>CALLAO</v>
          </cell>
        </row>
        <row r="1300">
          <cell r="C1300" t="str">
            <v>MF-386C/20</v>
          </cell>
          <cell r="E1300" t="str">
            <v>CLORURO DE POTASIO ROJO GRANULAR</v>
          </cell>
          <cell r="F1300" t="str">
            <v>URALKALI</v>
          </cell>
          <cell r="P1300">
            <v>640</v>
          </cell>
          <cell r="R1300" t="str">
            <v>CFR</v>
          </cell>
          <cell r="S1300">
            <v>255</v>
          </cell>
          <cell r="Y1300">
            <v>44239</v>
          </cell>
          <cell r="AF1300" t="str">
            <v>MATARANI</v>
          </cell>
        </row>
        <row r="1301">
          <cell r="C1301" t="str">
            <v>MF-387/20</v>
          </cell>
          <cell r="E1301" t="str">
            <v>SULFATO DE POTASIO SOLUBLE ORG X 25KG - HORTISUL</v>
          </cell>
          <cell r="F1301" t="str">
            <v>K+S Minerals and Agriculture GmbH</v>
          </cell>
          <cell r="P1301">
            <v>0</v>
          </cell>
          <cell r="R1301">
            <v>0</v>
          </cell>
          <cell r="S1301">
            <v>0</v>
          </cell>
          <cell r="Y1301">
            <v>0</v>
          </cell>
          <cell r="AF1301">
            <v>0</v>
          </cell>
        </row>
        <row r="1302">
          <cell r="C1302" t="str">
            <v>MF-388/20</v>
          </cell>
          <cell r="E1302" t="str">
            <v>SULFATO DE POTASIO GRANULAR</v>
          </cell>
          <cell r="F1302" t="str">
            <v>K+S Minerals and Agriculture GmbH</v>
          </cell>
          <cell r="P1302">
            <v>196.03800000000001</v>
          </cell>
          <cell r="R1302" t="str">
            <v>CPT</v>
          </cell>
          <cell r="S1302">
            <v>430</v>
          </cell>
          <cell r="Y1302">
            <v>44251</v>
          </cell>
          <cell r="AF1302" t="str">
            <v>PAITA</v>
          </cell>
        </row>
        <row r="1303">
          <cell r="C1303" t="str">
            <v>MF-389/20</v>
          </cell>
          <cell r="E1303" t="str">
            <v xml:space="preserve">SULFATO DE MAGNESIO HEPTAHIDRATADO </v>
          </cell>
          <cell r="F1303" t="str">
            <v>WEGROW AG</v>
          </cell>
          <cell r="P1303">
            <v>795</v>
          </cell>
          <cell r="R1303" t="str">
            <v>CFR</v>
          </cell>
          <cell r="S1303">
            <v>117</v>
          </cell>
          <cell r="Y1303">
            <v>44243</v>
          </cell>
          <cell r="AF1303" t="str">
            <v>PAITA</v>
          </cell>
        </row>
        <row r="1304">
          <cell r="C1304" t="str">
            <v>MF-390/20</v>
          </cell>
          <cell r="E1304" t="str">
            <v xml:space="preserve">SULFATO DE MAGNESIO HEPTAHIDRATADO </v>
          </cell>
          <cell r="F1304" t="str">
            <v>WEGROW AG</v>
          </cell>
          <cell r="P1304">
            <v>215</v>
          </cell>
          <cell r="R1304" t="str">
            <v>CFR</v>
          </cell>
          <cell r="S1304">
            <v>120</v>
          </cell>
          <cell r="Y1304">
            <v>44266</v>
          </cell>
          <cell r="AF1304" t="str">
            <v>MATARANI</v>
          </cell>
        </row>
        <row r="1305">
          <cell r="C1305" t="str">
            <v>MF-391/20</v>
          </cell>
          <cell r="E1305" t="str">
            <v>SULFATO DE POTASIO SOLUBLE</v>
          </cell>
          <cell r="F1305" t="str">
            <v>YARA SWITZERLAND LTD</v>
          </cell>
          <cell r="P1305">
            <v>408</v>
          </cell>
          <cell r="R1305" t="str">
            <v>CFR</v>
          </cell>
          <cell r="S1305">
            <v>430</v>
          </cell>
          <cell r="Y1305">
            <v>44345</v>
          </cell>
          <cell r="AF1305" t="str">
            <v>CALLAO</v>
          </cell>
        </row>
        <row r="1306">
          <cell r="C1306" t="str">
            <v>MF-392/20</v>
          </cell>
          <cell r="E1306" t="str">
            <v>SULFATO DE POTASIO SOLUBLE</v>
          </cell>
          <cell r="F1306" t="str">
            <v>YARA SWITZERLAND LTD</v>
          </cell>
          <cell r="P1306">
            <v>408</v>
          </cell>
          <cell r="R1306" t="str">
            <v>CFR</v>
          </cell>
          <cell r="S1306">
            <v>430</v>
          </cell>
          <cell r="Y1306">
            <v>44412</v>
          </cell>
          <cell r="AF1306" t="str">
            <v>CALLAO</v>
          </cell>
        </row>
        <row r="1307">
          <cell r="C1307" t="str">
            <v>MF-393/20</v>
          </cell>
          <cell r="E1307" t="str">
            <v>NITRATO DE MAGNESIO HEXAHIDRATADO</v>
          </cell>
          <cell r="F1307" t="str">
            <v>SOLINC INDUSTRIAL CO., LIMITED</v>
          </cell>
          <cell r="P1307">
            <v>100.1</v>
          </cell>
          <cell r="R1307" t="str">
            <v>CFR</v>
          </cell>
          <cell r="S1307">
            <v>227</v>
          </cell>
          <cell r="Y1307">
            <v>44296</v>
          </cell>
          <cell r="AF1307" t="str">
            <v>CALLAO</v>
          </cell>
        </row>
        <row r="1308">
          <cell r="C1308" t="str">
            <v>MF-394/20</v>
          </cell>
          <cell r="E1308" t="str">
            <v>NITRATO DE MAGNESIO HEXAHIDRATADO</v>
          </cell>
          <cell r="F1308" t="str">
            <v>SOLINC INDUSTRIAL CO., LIMITED</v>
          </cell>
          <cell r="P1308">
            <v>100</v>
          </cell>
          <cell r="R1308" t="str">
            <v>CFR</v>
          </cell>
          <cell r="S1308">
            <v>245</v>
          </cell>
          <cell r="Y1308">
            <v>44427</v>
          </cell>
          <cell r="AF1308" t="str">
            <v>CALLAO</v>
          </cell>
        </row>
        <row r="1309">
          <cell r="C1309" t="str">
            <v>MF-395/20</v>
          </cell>
          <cell r="E1309" t="str">
            <v>ÁCIDO FÚLVICO EN POLVO X25KG</v>
          </cell>
          <cell r="F1309" t="str">
            <v>WEGROW AG</v>
          </cell>
          <cell r="P1309">
            <v>32.25</v>
          </cell>
          <cell r="R1309" t="str">
            <v>CFR</v>
          </cell>
          <cell r="S1309">
            <v>710</v>
          </cell>
          <cell r="Y1309">
            <v>44290</v>
          </cell>
          <cell r="AF1309" t="str">
            <v>CALLAO</v>
          </cell>
        </row>
        <row r="1310">
          <cell r="C1310" t="str">
            <v>MF-396.1.1/20</v>
          </cell>
          <cell r="E1310" t="str">
            <v>SULFATO DE POTASIO SOLUBLE</v>
          </cell>
          <cell r="F1310" t="str">
            <v>YARA SWITZERLAND LTD</v>
          </cell>
          <cell r="P1310">
            <v>240</v>
          </cell>
          <cell r="R1310" t="str">
            <v>CFR</v>
          </cell>
          <cell r="S1310">
            <v>440</v>
          </cell>
          <cell r="Y1310">
            <v>44498</v>
          </cell>
          <cell r="AF1310" t="str">
            <v>PAITA</v>
          </cell>
        </row>
        <row r="1311">
          <cell r="C1311" t="str">
            <v>MF-396.1.2/20</v>
          </cell>
          <cell r="E1311" t="str">
            <v>SULFATO DE POTASIO SOLUBLE</v>
          </cell>
          <cell r="F1311" t="str">
            <v>YARA SWITZERLAND LTD</v>
          </cell>
          <cell r="P1311">
            <v>240</v>
          </cell>
          <cell r="R1311" t="str">
            <v>CFR</v>
          </cell>
          <cell r="S1311">
            <v>440</v>
          </cell>
          <cell r="Y1311">
            <v>44512</v>
          </cell>
          <cell r="AF1311" t="str">
            <v>PAITA</v>
          </cell>
        </row>
        <row r="1312">
          <cell r="C1312" t="str">
            <v>MF-396.2.1/20</v>
          </cell>
          <cell r="E1312" t="str">
            <v>SULFATO DE POTASIO SOLUBLE</v>
          </cell>
          <cell r="F1312" t="str">
            <v>YARA SWITZERLAND LTD</v>
          </cell>
          <cell r="P1312">
            <v>240</v>
          </cell>
          <cell r="R1312" t="str">
            <v>CFR</v>
          </cell>
          <cell r="S1312">
            <v>440</v>
          </cell>
          <cell r="Y1312">
            <v>44567</v>
          </cell>
          <cell r="AF1312" t="str">
            <v>PAITA</v>
          </cell>
        </row>
        <row r="1313">
          <cell r="C1313" t="str">
            <v>MF-396.2.2/20</v>
          </cell>
          <cell r="E1313" t="str">
            <v>SULFATO DE POTASIO SOLUBLE</v>
          </cell>
          <cell r="F1313" t="str">
            <v>YARA SWITZERLAND LTD</v>
          </cell>
          <cell r="P1313">
            <v>240</v>
          </cell>
          <cell r="R1313" t="str">
            <v>CFR</v>
          </cell>
          <cell r="S1313">
            <v>440</v>
          </cell>
          <cell r="Y1313">
            <v>44567</v>
          </cell>
          <cell r="AF1313" t="str">
            <v>PAITA</v>
          </cell>
        </row>
        <row r="1314">
          <cell r="C1314" t="str">
            <v>MF-396.3/20</v>
          </cell>
          <cell r="E1314" t="str">
            <v>SULFATO DE POTASIO SOLUBLE</v>
          </cell>
          <cell r="F1314" t="str">
            <v>YARA SWITZERLAND LTD</v>
          </cell>
          <cell r="P1314">
            <v>288</v>
          </cell>
          <cell r="R1314" t="str">
            <v>CFR</v>
          </cell>
          <cell r="S1314">
            <v>440</v>
          </cell>
          <cell r="Y1314">
            <v>44355</v>
          </cell>
          <cell r="AF1314" t="str">
            <v>PAITA</v>
          </cell>
        </row>
        <row r="1315">
          <cell r="C1315" t="str">
            <v>MF-001/21</v>
          </cell>
          <cell r="E1315" t="str">
            <v>MICROMAX ZN EDTA X 5KG</v>
          </cell>
          <cell r="F1315" t="str">
            <v>PPC ADOB Sp. z o.o. Sp. K.</v>
          </cell>
          <cell r="P1315">
            <v>9</v>
          </cell>
          <cell r="R1315" t="str">
            <v>CIF</v>
          </cell>
          <cell r="S1315">
            <v>4680</v>
          </cell>
          <cell r="Y1315">
            <v>44281</v>
          </cell>
          <cell r="AF1315" t="str">
            <v>CALLAO</v>
          </cell>
        </row>
        <row r="1316">
          <cell r="C1316" t="str">
            <v>MF-002/21</v>
          </cell>
          <cell r="E1316" t="str">
            <v>CLORURO DE POTASIO BLANCO ESTANDAR</v>
          </cell>
          <cell r="F1316" t="str">
            <v>K+S Minerals and Agriculture GmbH</v>
          </cell>
          <cell r="P1316">
            <v>504.29500000000002</v>
          </cell>
          <cell r="R1316" t="str">
            <v>CPT</v>
          </cell>
          <cell r="S1316">
            <v>255</v>
          </cell>
          <cell r="Y1316">
            <v>44265</v>
          </cell>
          <cell r="AF1316" t="str">
            <v>PAITA</v>
          </cell>
        </row>
        <row r="1317">
          <cell r="C1317" t="str">
            <v>MF-003/21</v>
          </cell>
          <cell r="E1317" t="str">
            <v>CR - MAG BIGBAG</v>
          </cell>
          <cell r="F1317" t="str">
            <v>TIMAB</v>
          </cell>
          <cell r="P1317">
            <v>100</v>
          </cell>
          <cell r="R1317" t="str">
            <v>CIF</v>
          </cell>
          <cell r="S1317">
            <v>358</v>
          </cell>
          <cell r="Y1317">
            <v>44356</v>
          </cell>
          <cell r="AF1317" t="str">
            <v>CALLAO</v>
          </cell>
        </row>
        <row r="1318">
          <cell r="C1318" t="str">
            <v>MF-004/21</v>
          </cell>
          <cell r="E1318" t="str">
            <v>UREA ADBLUE (BIG BAG)</v>
          </cell>
          <cell r="F1318" t="str">
            <v>PHOSAGRO</v>
          </cell>
          <cell r="P1318">
            <v>892.80000000000007</v>
          </cell>
          <cell r="R1318" t="str">
            <v>CFR</v>
          </cell>
          <cell r="S1318">
            <v>365</v>
          </cell>
          <cell r="Y1318">
            <v>44309</v>
          </cell>
          <cell r="AF1318" t="str">
            <v>CALLAO</v>
          </cell>
        </row>
        <row r="1319">
          <cell r="C1319" t="str">
            <v>MF-004.1/21</v>
          </cell>
          <cell r="E1319" t="str">
            <v>UREA ADBLUE (BIG BAG)</v>
          </cell>
          <cell r="F1319" t="str">
            <v>PHOSAGRO</v>
          </cell>
          <cell r="P1319">
            <v>86.4</v>
          </cell>
          <cell r="R1319" t="str">
            <v>CFR</v>
          </cell>
          <cell r="S1319">
            <v>365</v>
          </cell>
          <cell r="Y1319">
            <v>44367</v>
          </cell>
          <cell r="AF1319" t="str">
            <v>CALLAO</v>
          </cell>
        </row>
        <row r="1320">
          <cell r="C1320" t="str">
            <v>MF-005/21</v>
          </cell>
          <cell r="E1320" t="str">
            <v>YARATERA CALCINIT X 25KG</v>
          </cell>
          <cell r="F1320" t="str">
            <v>YARA PERÚ SRL</v>
          </cell>
          <cell r="P1320">
            <v>600</v>
          </cell>
          <cell r="R1320" t="str">
            <v>CFR</v>
          </cell>
          <cell r="S1320">
            <v>230</v>
          </cell>
          <cell r="Y1320">
            <v>44223</v>
          </cell>
          <cell r="AF1320" t="str">
            <v>PAITA</v>
          </cell>
        </row>
        <row r="1321">
          <cell r="C1321" t="str">
            <v>MF-006/21</v>
          </cell>
          <cell r="E1321" t="str">
            <v>NITRATO DE MAGNESIO HEXAHIDRATADO</v>
          </cell>
          <cell r="F1321" t="str">
            <v>MITSUI &amp; CO., Ltda</v>
          </cell>
          <cell r="P1321">
            <v>0</v>
          </cell>
          <cell r="R1321">
            <v>0</v>
          </cell>
          <cell r="S1321">
            <v>0</v>
          </cell>
          <cell r="Y1321">
            <v>0</v>
          </cell>
          <cell r="AF1321">
            <v>0</v>
          </cell>
        </row>
        <row r="1322">
          <cell r="C1322" t="str">
            <v>MF-007A1.1/21</v>
          </cell>
          <cell r="E1322" t="str">
            <v>ÁCIDO FOSFÓRICO</v>
          </cell>
          <cell r="F1322" t="str">
            <v>NITRON GROUP LLC</v>
          </cell>
          <cell r="P1322">
            <v>672</v>
          </cell>
          <cell r="R1322" t="str">
            <v>CFR</v>
          </cell>
          <cell r="S1322">
            <v>944.24</v>
          </cell>
          <cell r="Y1322">
            <v>44286</v>
          </cell>
          <cell r="AF1322" t="str">
            <v>PAITA</v>
          </cell>
        </row>
        <row r="1323">
          <cell r="C1323" t="str">
            <v>MF-007A1.2/21</v>
          </cell>
          <cell r="E1323" t="str">
            <v>ÁCIDO FOSFÓRICO</v>
          </cell>
          <cell r="F1323" t="str">
            <v>NITRON GROUP LLC</v>
          </cell>
          <cell r="P1323">
            <v>0</v>
          </cell>
          <cell r="R1323">
            <v>0</v>
          </cell>
          <cell r="S1323">
            <v>0</v>
          </cell>
          <cell r="Y1323">
            <v>0</v>
          </cell>
          <cell r="AF1323">
            <v>0</v>
          </cell>
        </row>
        <row r="1324">
          <cell r="C1324" t="str">
            <v>MF-007A1.3/21</v>
          </cell>
          <cell r="E1324" t="str">
            <v>ÁCIDO FOSFÓRICO</v>
          </cell>
          <cell r="F1324" t="str">
            <v>NITRON GROUP LLC</v>
          </cell>
          <cell r="P1324">
            <v>168</v>
          </cell>
          <cell r="R1324" t="str">
            <v>CFR</v>
          </cell>
          <cell r="S1324">
            <v>944.24</v>
          </cell>
          <cell r="Y1324">
            <v>44314</v>
          </cell>
          <cell r="AF1324" t="str">
            <v>PAITA</v>
          </cell>
        </row>
        <row r="1325">
          <cell r="C1325" t="str">
            <v>MF-007A2/21</v>
          </cell>
          <cell r="E1325" t="str">
            <v>ÁCIDO FOSFÓRICO</v>
          </cell>
          <cell r="F1325" t="str">
            <v>NITRON GROUP LLC</v>
          </cell>
          <cell r="P1325">
            <v>312</v>
          </cell>
          <cell r="R1325" t="str">
            <v>CFR</v>
          </cell>
          <cell r="S1325">
            <v>944.24</v>
          </cell>
          <cell r="Y1325">
            <v>44300</v>
          </cell>
          <cell r="AF1325" t="str">
            <v>PAITA</v>
          </cell>
        </row>
        <row r="1326">
          <cell r="C1326" t="str">
            <v>MF-007B/21</v>
          </cell>
          <cell r="E1326" t="str">
            <v>ÁCIDO FOSFÓRICO</v>
          </cell>
          <cell r="F1326" t="str">
            <v>NITRON GROUP LLC</v>
          </cell>
          <cell r="P1326">
            <v>216</v>
          </cell>
          <cell r="R1326" t="str">
            <v>CFR</v>
          </cell>
          <cell r="S1326">
            <v>920.83</v>
          </cell>
          <cell r="Y1326">
            <v>44288</v>
          </cell>
          <cell r="AF1326" t="str">
            <v>CALLAO</v>
          </cell>
        </row>
        <row r="1327">
          <cell r="C1327" t="str">
            <v>MF-008A1/21</v>
          </cell>
          <cell r="E1327" t="str">
            <v>ÁCIDO FOSFÓRICO</v>
          </cell>
          <cell r="F1327" t="str">
            <v>NITRON GROUP LLC</v>
          </cell>
          <cell r="P1327">
            <v>264</v>
          </cell>
          <cell r="R1327" t="str">
            <v>CFR</v>
          </cell>
          <cell r="S1327">
            <v>1002</v>
          </cell>
          <cell r="Y1327">
            <v>44300</v>
          </cell>
          <cell r="AF1327" t="str">
            <v>PAITA</v>
          </cell>
        </row>
        <row r="1328">
          <cell r="C1328" t="str">
            <v>MF-008A2/21</v>
          </cell>
          <cell r="E1328" t="str">
            <v>ÁCIDO FOSFÓRICO</v>
          </cell>
          <cell r="F1328" t="str">
            <v>NITRON GROUP LLC</v>
          </cell>
          <cell r="P1328">
            <v>168</v>
          </cell>
          <cell r="R1328" t="str">
            <v>CFR</v>
          </cell>
          <cell r="S1328">
            <v>1002</v>
          </cell>
          <cell r="Y1328">
            <v>44328</v>
          </cell>
          <cell r="AF1328" t="str">
            <v>PAITA</v>
          </cell>
        </row>
        <row r="1329">
          <cell r="C1329" t="str">
            <v>MF-008A3/21</v>
          </cell>
          <cell r="E1329" t="str">
            <v>ÁCIDO FOSFÓRICO</v>
          </cell>
          <cell r="F1329" t="str">
            <v>NITRON GROUP LLC</v>
          </cell>
          <cell r="P1329">
            <v>312</v>
          </cell>
          <cell r="R1329" t="str">
            <v>CFR</v>
          </cell>
          <cell r="S1329">
            <v>1002</v>
          </cell>
          <cell r="Y1329">
            <v>44384</v>
          </cell>
          <cell r="AF1329" t="str">
            <v>PAITA</v>
          </cell>
        </row>
        <row r="1330">
          <cell r="C1330" t="str">
            <v>MF-008B1/21</v>
          </cell>
          <cell r="E1330" t="str">
            <v>ÁCIDO FOSFÓRICO</v>
          </cell>
          <cell r="F1330" t="str">
            <v>NITRON GROUP LLC</v>
          </cell>
          <cell r="P1330">
            <v>312</v>
          </cell>
          <cell r="R1330" t="str">
            <v>CFR</v>
          </cell>
          <cell r="S1330">
            <v>980</v>
          </cell>
          <cell r="Y1330">
            <v>44312</v>
          </cell>
          <cell r="AF1330" t="str">
            <v>CALLAO</v>
          </cell>
        </row>
        <row r="1331">
          <cell r="C1331" t="str">
            <v>MF-008B2/21</v>
          </cell>
          <cell r="E1331" t="str">
            <v>ÁCIDO FOSFÓRICO</v>
          </cell>
          <cell r="F1331" t="str">
            <v>NITRON GROUP LLC</v>
          </cell>
          <cell r="P1331">
            <v>408</v>
          </cell>
          <cell r="R1331" t="str">
            <v>CFR</v>
          </cell>
          <cell r="S1331">
            <v>980</v>
          </cell>
          <cell r="Y1331">
            <v>44336</v>
          </cell>
          <cell r="AF1331" t="str">
            <v>CALLAO</v>
          </cell>
        </row>
        <row r="1332">
          <cell r="C1332" t="str">
            <v>MF-008B3/21</v>
          </cell>
          <cell r="E1332" t="str">
            <v>ÁCIDO FOSFÓRICO</v>
          </cell>
          <cell r="F1332" t="str">
            <v>NITRON GROUP LLC</v>
          </cell>
          <cell r="P1332">
            <v>216</v>
          </cell>
          <cell r="R1332" t="str">
            <v>CFR</v>
          </cell>
          <cell r="S1332">
            <v>980</v>
          </cell>
          <cell r="Y1332">
            <v>44399</v>
          </cell>
          <cell r="AF1332" t="str">
            <v>CALLAO</v>
          </cell>
        </row>
        <row r="1333">
          <cell r="C1333" t="str">
            <v>MF-009.1/21</v>
          </cell>
          <cell r="E1333" t="str">
            <v>SULFATO DE POTASIO SOLUBLE</v>
          </cell>
          <cell r="F1333" t="str">
            <v>YARA SWITZERLAND LTD</v>
          </cell>
          <cell r="P1333">
            <v>240</v>
          </cell>
          <cell r="R1333" t="str">
            <v>CFR</v>
          </cell>
          <cell r="S1333">
            <v>453</v>
          </cell>
          <cell r="Y1333">
            <v>44662</v>
          </cell>
          <cell r="AF1333" t="str">
            <v>CALLAO</v>
          </cell>
        </row>
        <row r="1334">
          <cell r="C1334" t="str">
            <v>MF-009.2/21</v>
          </cell>
          <cell r="E1334" t="str">
            <v>SULFATO DE POTASIO SOLUBLE</v>
          </cell>
          <cell r="F1334" t="str">
            <v>YARA SWITZERLAND LTD</v>
          </cell>
          <cell r="P1334">
            <v>408</v>
          </cell>
          <cell r="R1334" t="str">
            <v>CFR</v>
          </cell>
          <cell r="S1334">
            <v>453</v>
          </cell>
          <cell r="Y1334">
            <v>44662</v>
          </cell>
          <cell r="AF1334" t="str">
            <v>CALLAO</v>
          </cell>
        </row>
        <row r="1335">
          <cell r="C1335" t="str">
            <v>MF-009.3/21</v>
          </cell>
          <cell r="E1335" t="str">
            <v>SULFATO DE POTASIO SOLUBLE</v>
          </cell>
          <cell r="F1335" t="str">
            <v>YARA SWITZERLAND LTD</v>
          </cell>
          <cell r="P1335">
            <v>312</v>
          </cell>
          <cell r="R1335" t="str">
            <v>CFR</v>
          </cell>
          <cell r="S1335">
            <v>453</v>
          </cell>
          <cell r="Y1335">
            <v>44662</v>
          </cell>
          <cell r="AF1335" t="str">
            <v>CALLAO</v>
          </cell>
        </row>
        <row r="1336">
          <cell r="C1336" t="str">
            <v>MF-009.4/21</v>
          </cell>
          <cell r="E1336" t="str">
            <v>SULFATO DE POTASIO SOLUBLE</v>
          </cell>
          <cell r="F1336" t="str">
            <v>YARA SWITZERLAND LTD</v>
          </cell>
          <cell r="P1336">
            <v>552</v>
          </cell>
          <cell r="R1336" t="str">
            <v>CFR</v>
          </cell>
          <cell r="S1336">
            <v>453</v>
          </cell>
          <cell r="Y1336">
            <v>44662</v>
          </cell>
          <cell r="AF1336" t="str">
            <v>CALLAO</v>
          </cell>
        </row>
        <row r="1337">
          <cell r="C1337" t="str">
            <v>MF-010.1/21</v>
          </cell>
          <cell r="E1337" t="str">
            <v>SULFATO DE POTASIO SOLUBLE</v>
          </cell>
          <cell r="F1337" t="str">
            <v>YARA SWITZERLAND LTD</v>
          </cell>
          <cell r="P1337">
            <v>408</v>
          </cell>
          <cell r="R1337" t="str">
            <v>CFR</v>
          </cell>
          <cell r="S1337">
            <v>457</v>
          </cell>
          <cell r="Y1337">
            <v>44557</v>
          </cell>
          <cell r="AF1337" t="str">
            <v>PAITA</v>
          </cell>
        </row>
        <row r="1338">
          <cell r="C1338" t="str">
            <v>MF-010.2/21</v>
          </cell>
          <cell r="E1338" t="str">
            <v>SULFATO DE POTASIO SOLUBLE</v>
          </cell>
          <cell r="F1338" t="str">
            <v>YARA SWITZERLAND LTD</v>
          </cell>
          <cell r="P1338">
            <v>312</v>
          </cell>
          <cell r="R1338" t="str">
            <v>CFR</v>
          </cell>
          <cell r="S1338">
            <v>457</v>
          </cell>
          <cell r="Y1338">
            <v>44662</v>
          </cell>
          <cell r="AF1338" t="str">
            <v>PAITA</v>
          </cell>
        </row>
        <row r="1339">
          <cell r="C1339" t="str">
            <v>MF-010.3/21</v>
          </cell>
          <cell r="E1339" t="str">
            <v>SULFATO DE POTASIO SOLUBLE</v>
          </cell>
          <cell r="F1339" t="str">
            <v>YARA SWITZERLAND LTD</v>
          </cell>
          <cell r="P1339">
            <v>288</v>
          </cell>
          <cell r="R1339" t="str">
            <v>CFR</v>
          </cell>
          <cell r="S1339">
            <v>457</v>
          </cell>
          <cell r="Y1339">
            <v>44662</v>
          </cell>
          <cell r="AF1339" t="str">
            <v>PAITA</v>
          </cell>
        </row>
        <row r="1340">
          <cell r="C1340" t="str">
            <v>MF-010.4/21</v>
          </cell>
          <cell r="E1340" t="str">
            <v>SULFATO DE POTASIO SOLUBLE</v>
          </cell>
          <cell r="F1340" t="str">
            <v>YARA SWITZERLAND LTD</v>
          </cell>
          <cell r="P1340">
            <v>192</v>
          </cell>
          <cell r="R1340" t="str">
            <v>CFR</v>
          </cell>
          <cell r="S1340">
            <v>457</v>
          </cell>
          <cell r="Y1340">
            <v>44662</v>
          </cell>
          <cell r="AF1340" t="str">
            <v>PAITA</v>
          </cell>
        </row>
        <row r="1341">
          <cell r="C1341" t="str">
            <v>MF-010.5/21</v>
          </cell>
          <cell r="E1341" t="str">
            <v>SULFATO DE POTASIO SOLUBLE</v>
          </cell>
          <cell r="F1341" t="str">
            <v>YARA SWITZERLAND LTD</v>
          </cell>
          <cell r="P1341">
            <v>288</v>
          </cell>
          <cell r="R1341" t="str">
            <v>CFR</v>
          </cell>
          <cell r="S1341">
            <v>457</v>
          </cell>
          <cell r="Y1341">
            <v>44662</v>
          </cell>
          <cell r="AF1341" t="str">
            <v>PAITA</v>
          </cell>
        </row>
        <row r="1342">
          <cell r="C1342" t="str">
            <v>MF-010.6/21</v>
          </cell>
          <cell r="E1342" t="str">
            <v>SULFATO DE POTASIO SOLUBLE</v>
          </cell>
          <cell r="F1342" t="str">
            <v>YARA SWITZERLAND LTD</v>
          </cell>
          <cell r="P1342">
            <v>0</v>
          </cell>
          <cell r="R1342">
            <v>0</v>
          </cell>
          <cell r="S1342">
            <v>0</v>
          </cell>
          <cell r="Y1342">
            <v>0</v>
          </cell>
          <cell r="AF1342">
            <v>0</v>
          </cell>
        </row>
        <row r="1343">
          <cell r="C1343" t="str">
            <v>MF-011/21</v>
          </cell>
          <cell r="E1343" t="str">
            <v>CR - MAG BIGBAG</v>
          </cell>
          <cell r="F1343" t="str">
            <v>TIMAB</v>
          </cell>
          <cell r="P1343">
            <v>100</v>
          </cell>
          <cell r="R1343" t="str">
            <v>CIF</v>
          </cell>
          <cell r="S1343">
            <v>348</v>
          </cell>
          <cell r="Y1343">
            <v>44453</v>
          </cell>
          <cell r="AF1343" t="str">
            <v>CALLAO</v>
          </cell>
        </row>
        <row r="1344">
          <cell r="C1344" t="str">
            <v>MF-012/21</v>
          </cell>
          <cell r="E1344" t="str">
            <v>YARATERA CALCINIT X 25KG</v>
          </cell>
          <cell r="F1344" t="str">
            <v>YARA PERÚ SRL</v>
          </cell>
          <cell r="P1344">
            <v>700</v>
          </cell>
          <cell r="R1344" t="str">
            <v>CFR</v>
          </cell>
          <cell r="S1344">
            <v>230</v>
          </cell>
          <cell r="Y1344">
            <v>44224</v>
          </cell>
          <cell r="AF1344" t="str">
            <v>CALLAO</v>
          </cell>
        </row>
        <row r="1345">
          <cell r="C1345" t="str">
            <v>MF-013/21</v>
          </cell>
          <cell r="E1345" t="str">
            <v>SULFATO DE POTASIO GRANULAR</v>
          </cell>
          <cell r="F1345" t="str">
            <v>K+S Minerals and Agriculture GmbH</v>
          </cell>
          <cell r="P1345">
            <v>392.09800000000001</v>
          </cell>
          <cell r="R1345" t="str">
            <v>CFR</v>
          </cell>
          <cell r="S1345">
            <v>458</v>
          </cell>
          <cell r="Y1345">
            <v>44370</v>
          </cell>
          <cell r="AF1345" t="str">
            <v>PAITA</v>
          </cell>
        </row>
        <row r="1346">
          <cell r="C1346" t="str">
            <v>MF-014/21</v>
          </cell>
          <cell r="E1346" t="str">
            <v>NITRATO DE MAGNESIO HEXAHIDRATADO</v>
          </cell>
          <cell r="F1346" t="str">
            <v>MITSUI &amp; CO., Ltda</v>
          </cell>
          <cell r="P1346">
            <v>150</v>
          </cell>
          <cell r="R1346" t="str">
            <v>CFR</v>
          </cell>
          <cell r="S1346">
            <v>268</v>
          </cell>
          <cell r="Y1346">
            <v>44427</v>
          </cell>
          <cell r="AF1346" t="str">
            <v>CALLAO</v>
          </cell>
        </row>
        <row r="1347">
          <cell r="C1347" t="str">
            <v>MF-015A/21</v>
          </cell>
          <cell r="E1347" t="str">
            <v>UREA PERLADA</v>
          </cell>
          <cell r="F1347" t="str">
            <v>NITRON GROUP LLC</v>
          </cell>
          <cell r="P1347">
            <v>600</v>
          </cell>
          <cell r="R1347" t="str">
            <v>CFR</v>
          </cell>
          <cell r="S1347">
            <v>370.11950000000002</v>
          </cell>
          <cell r="Y1347">
            <v>44274</v>
          </cell>
          <cell r="AF1347" t="str">
            <v>PAITA</v>
          </cell>
        </row>
        <row r="1348">
          <cell r="C1348" t="str">
            <v>MF-015B/21</v>
          </cell>
          <cell r="E1348" t="str">
            <v>UREA PERLADA</v>
          </cell>
          <cell r="F1348" t="str">
            <v>NITRON GROUP LLC</v>
          </cell>
          <cell r="P1348">
            <v>1500</v>
          </cell>
          <cell r="R1348" t="str">
            <v>CFR</v>
          </cell>
          <cell r="S1348">
            <v>370.11950000000002</v>
          </cell>
          <cell r="Y1348">
            <v>44276</v>
          </cell>
          <cell r="AF1348" t="str">
            <v>SALAVERRY</v>
          </cell>
        </row>
        <row r="1349">
          <cell r="C1349" t="str">
            <v>MF-015C/21</v>
          </cell>
          <cell r="E1349" t="str">
            <v>UREA PERLADA</v>
          </cell>
          <cell r="F1349" t="str">
            <v>NITRON GROUP LLC</v>
          </cell>
          <cell r="P1349">
            <v>2750</v>
          </cell>
          <cell r="R1349" t="str">
            <v>CFR</v>
          </cell>
          <cell r="S1349">
            <v>370.11950000000002</v>
          </cell>
          <cell r="Y1349">
            <v>44279</v>
          </cell>
          <cell r="AF1349" t="str">
            <v>CALLAO</v>
          </cell>
        </row>
        <row r="1350">
          <cell r="C1350" t="str">
            <v>MF-015D/21</v>
          </cell>
          <cell r="E1350" t="str">
            <v>UREA PERLADA</v>
          </cell>
          <cell r="F1350" t="str">
            <v>NITRON GROUP LLC</v>
          </cell>
          <cell r="P1350">
            <v>2150</v>
          </cell>
          <cell r="R1350" t="str">
            <v>CFR</v>
          </cell>
          <cell r="S1350">
            <v>370.11950000000002</v>
          </cell>
          <cell r="Y1350">
            <v>44282</v>
          </cell>
          <cell r="AF1350" t="str">
            <v>MATARANI</v>
          </cell>
        </row>
        <row r="1351">
          <cell r="C1351" t="str">
            <v>MF-016A/21</v>
          </cell>
          <cell r="E1351" t="str">
            <v>SULFATO DE AMONIO ESTÁNDAR</v>
          </cell>
          <cell r="F1351" t="str">
            <v xml:space="preserve">TGO Agriculture (USA) Inc. </v>
          </cell>
          <cell r="P1351">
            <v>2000</v>
          </cell>
          <cell r="R1351" t="str">
            <v>CFR</v>
          </cell>
          <cell r="S1351">
            <v>159.5</v>
          </cell>
          <cell r="Y1351">
            <v>44331</v>
          </cell>
          <cell r="AF1351" t="str">
            <v>PAITA</v>
          </cell>
        </row>
        <row r="1352">
          <cell r="C1352" t="str">
            <v>MF-016B/21</v>
          </cell>
          <cell r="E1352" t="str">
            <v>SULFATO DE AMONIO ESTÁNDAR</v>
          </cell>
          <cell r="F1352" t="str">
            <v xml:space="preserve">TGO Agriculture (USA) Inc. </v>
          </cell>
          <cell r="P1352">
            <v>1720</v>
          </cell>
          <cell r="R1352" t="str">
            <v>CFR</v>
          </cell>
          <cell r="S1352">
            <v>159.5</v>
          </cell>
          <cell r="Y1352">
            <v>44343</v>
          </cell>
          <cell r="AF1352" t="str">
            <v>SALAVERRY</v>
          </cell>
        </row>
        <row r="1353">
          <cell r="C1353" t="str">
            <v>MF-016C/21</v>
          </cell>
          <cell r="E1353" t="str">
            <v>SULFATO DE AMONIO ESTÁNDAR</v>
          </cell>
          <cell r="F1353" t="str">
            <v xml:space="preserve">TGO Agriculture (USA) Inc. </v>
          </cell>
          <cell r="P1353">
            <v>330</v>
          </cell>
          <cell r="R1353" t="str">
            <v>CFR</v>
          </cell>
          <cell r="S1353">
            <v>159.5</v>
          </cell>
          <cell r="Y1353">
            <v>44356</v>
          </cell>
          <cell r="AF1353" t="str">
            <v>CALLAO</v>
          </cell>
        </row>
        <row r="1354">
          <cell r="C1354" t="str">
            <v>MF-016D/21</v>
          </cell>
          <cell r="E1354" t="str">
            <v>SULFATO DE AMONIO ESTÁNDAR</v>
          </cell>
          <cell r="F1354" t="str">
            <v xml:space="preserve">TGO Agriculture (USA) Inc. </v>
          </cell>
          <cell r="P1354">
            <v>150</v>
          </cell>
          <cell r="R1354" t="str">
            <v>CFR</v>
          </cell>
          <cell r="S1354">
            <v>159.5</v>
          </cell>
          <cell r="Y1354">
            <v>44352</v>
          </cell>
          <cell r="AF1354" t="str">
            <v>PISCO</v>
          </cell>
        </row>
        <row r="1355">
          <cell r="C1355" t="str">
            <v>MF-016E/21</v>
          </cell>
          <cell r="E1355" t="str">
            <v>SULFATO DE AMONIO ESTÁNDAR</v>
          </cell>
          <cell r="F1355" t="str">
            <v xml:space="preserve">TGO Agriculture (USA) Inc. </v>
          </cell>
          <cell r="P1355">
            <v>300</v>
          </cell>
          <cell r="R1355" t="str">
            <v>CFR</v>
          </cell>
          <cell r="S1355">
            <v>159.5</v>
          </cell>
          <cell r="Y1355">
            <v>44354</v>
          </cell>
          <cell r="AF1355" t="str">
            <v>MATARANI</v>
          </cell>
        </row>
        <row r="1356">
          <cell r="C1356" t="str">
            <v>MF-017A/21</v>
          </cell>
          <cell r="E1356" t="str">
            <v>FOSFATO DIAMÓNICO GRANULAR</v>
          </cell>
          <cell r="F1356" t="str">
            <v xml:space="preserve">TGO Agriculture (USA) Inc. </v>
          </cell>
          <cell r="P1356">
            <v>2700</v>
          </cell>
          <cell r="R1356" t="str">
            <v>CFR</v>
          </cell>
          <cell r="S1356">
            <v>472</v>
          </cell>
          <cell r="Y1356">
            <v>44354</v>
          </cell>
          <cell r="AF1356" t="str">
            <v>MATARANI</v>
          </cell>
        </row>
        <row r="1357">
          <cell r="C1357" t="str">
            <v>MF-017B/21</v>
          </cell>
          <cell r="E1357" t="str">
            <v>FOSFATO DIAMÓNICO GRANULAR</v>
          </cell>
          <cell r="F1357" t="str">
            <v xml:space="preserve">TGO Agriculture (USA) Inc. </v>
          </cell>
          <cell r="P1357">
            <v>0</v>
          </cell>
          <cell r="R1357">
            <v>0</v>
          </cell>
          <cell r="S1357">
            <v>0</v>
          </cell>
          <cell r="Y1357">
            <v>0</v>
          </cell>
          <cell r="AF1357">
            <v>0</v>
          </cell>
        </row>
        <row r="1358">
          <cell r="C1358" t="str">
            <v>MF-018/21</v>
          </cell>
          <cell r="E1358" t="str">
            <v>BROWN AGRONYL CR X 20KG</v>
          </cell>
          <cell r="F1358" t="str">
            <v>LUENGO COLOR, SLU</v>
          </cell>
          <cell r="P1358">
            <v>2</v>
          </cell>
          <cell r="R1358" t="str">
            <v>CIF</v>
          </cell>
          <cell r="S1358">
            <v>4092</v>
          </cell>
          <cell r="Y1358">
            <v>44274</v>
          </cell>
          <cell r="AF1358" t="str">
            <v>CALLAO</v>
          </cell>
        </row>
        <row r="1359">
          <cell r="C1359" t="str">
            <v>MF-019/21</v>
          </cell>
          <cell r="E1359" t="str">
            <v>POTASHPLUS A GRANEL</v>
          </cell>
          <cell r="F1359" t="str">
            <v>ICL EUROPE COOPERATIEF U.A.</v>
          </cell>
          <cell r="P1359">
            <v>307.92</v>
          </cell>
          <cell r="R1359" t="str">
            <v>CFR</v>
          </cell>
          <cell r="S1359">
            <v>255</v>
          </cell>
          <cell r="Y1359">
            <v>44303</v>
          </cell>
          <cell r="AF1359" t="str">
            <v>CALLAO</v>
          </cell>
        </row>
        <row r="1360">
          <cell r="C1360" t="str">
            <v>MF-020/21</v>
          </cell>
          <cell r="E1360" t="str">
            <v>POTASHPLUS A GRANEL</v>
          </cell>
          <cell r="F1360" t="str">
            <v>ICL EUROPE COOPERATIEF U.A.</v>
          </cell>
          <cell r="P1360">
            <v>139.82</v>
          </cell>
          <cell r="R1360" t="str">
            <v>CFR</v>
          </cell>
          <cell r="S1360">
            <v>255</v>
          </cell>
          <cell r="Y1360">
            <v>44316</v>
          </cell>
          <cell r="AF1360" t="str">
            <v>PAITA</v>
          </cell>
        </row>
        <row r="1361">
          <cell r="C1361" t="str">
            <v>MF-021/21</v>
          </cell>
          <cell r="E1361" t="str">
            <v>POTASHPLUS A GRANEL</v>
          </cell>
          <cell r="F1361" t="str">
            <v>ICL EUROPE COOPERATIEF U.A.</v>
          </cell>
          <cell r="P1361">
            <v>155.12</v>
          </cell>
          <cell r="R1361" t="str">
            <v>CFR</v>
          </cell>
          <cell r="S1361">
            <v>255</v>
          </cell>
          <cell r="Y1361">
            <v>44333</v>
          </cell>
          <cell r="AF1361" t="str">
            <v>CALLAO</v>
          </cell>
        </row>
        <row r="1362">
          <cell r="C1362" t="str">
            <v>MF-022A/21</v>
          </cell>
          <cell r="E1362" t="str">
            <v>CLORURO DE POTASIO BLANCO ESTANDAR</v>
          </cell>
          <cell r="F1362" t="str">
            <v>URALKALI</v>
          </cell>
          <cell r="P1362">
            <v>2145</v>
          </cell>
          <cell r="R1362" t="str">
            <v>CFR</v>
          </cell>
          <cell r="S1362">
            <v>260</v>
          </cell>
          <cell r="Y1362">
            <v>44294</v>
          </cell>
          <cell r="AF1362" t="str">
            <v>PAITA</v>
          </cell>
        </row>
        <row r="1363">
          <cell r="C1363" t="str">
            <v>MF-022B/21</v>
          </cell>
          <cell r="E1363" t="str">
            <v>CLORURO DE POTASIO BLANCO ESTANDAR</v>
          </cell>
          <cell r="F1363" t="str">
            <v>URALKALI</v>
          </cell>
          <cell r="P1363">
            <v>1100</v>
          </cell>
          <cell r="R1363" t="str">
            <v>CFR</v>
          </cell>
          <cell r="S1363">
            <v>260</v>
          </cell>
          <cell r="Y1363">
            <v>44296</v>
          </cell>
          <cell r="AF1363" t="str">
            <v>SALAVERRY</v>
          </cell>
        </row>
        <row r="1364">
          <cell r="C1364" t="str">
            <v>MF-022C/21</v>
          </cell>
          <cell r="E1364" t="str">
            <v>CLORURO DE POTASIO BLANCO ESTANDAR</v>
          </cell>
          <cell r="F1364" t="str">
            <v>URALKALI</v>
          </cell>
          <cell r="P1364">
            <v>110</v>
          </cell>
          <cell r="R1364" t="str">
            <v>CFR</v>
          </cell>
          <cell r="S1364">
            <v>260</v>
          </cell>
          <cell r="Y1364">
            <v>44301</v>
          </cell>
          <cell r="AF1364" t="str">
            <v>CALLAO</v>
          </cell>
        </row>
        <row r="1365">
          <cell r="C1365" t="str">
            <v>MF-022D/21</v>
          </cell>
          <cell r="E1365" t="str">
            <v>CLORURO DE POTASIO BLANCO ESTANDAR</v>
          </cell>
          <cell r="F1365" t="str">
            <v>URALKALI</v>
          </cell>
          <cell r="P1365">
            <v>275</v>
          </cell>
          <cell r="R1365" t="str">
            <v>CFR</v>
          </cell>
          <cell r="S1365">
            <v>260</v>
          </cell>
          <cell r="Y1365">
            <v>44307</v>
          </cell>
          <cell r="AF1365" t="str">
            <v>PISCO</v>
          </cell>
        </row>
        <row r="1366">
          <cell r="C1366" t="str">
            <v>MF-022E/21</v>
          </cell>
          <cell r="E1366" t="str">
            <v>CLORURO DE POTASIO BLANCO ESTANDAR</v>
          </cell>
          <cell r="F1366" t="str">
            <v>URALKALI</v>
          </cell>
          <cell r="P1366">
            <v>220</v>
          </cell>
          <cell r="R1366" t="str">
            <v>CFR</v>
          </cell>
          <cell r="S1366">
            <v>260</v>
          </cell>
          <cell r="Y1366">
            <v>44309</v>
          </cell>
          <cell r="AF1366" t="str">
            <v>MATARANI</v>
          </cell>
        </row>
        <row r="1367">
          <cell r="C1367" t="str">
            <v>MF-023/21</v>
          </cell>
          <cell r="E1367" t="str">
            <v>SULFATO FERROSO HEPTAHIDRATADO</v>
          </cell>
          <cell r="F1367" t="str">
            <v>VALUDOR Products LLC</v>
          </cell>
          <cell r="P1367">
            <v>57.5</v>
          </cell>
          <cell r="R1367" t="str">
            <v>CFR</v>
          </cell>
          <cell r="S1367">
            <v>113</v>
          </cell>
          <cell r="Y1367">
            <v>44347</v>
          </cell>
          <cell r="AF1367" t="str">
            <v>CALLAO</v>
          </cell>
        </row>
        <row r="1368">
          <cell r="C1368" t="str">
            <v>MF-024.1/21</v>
          </cell>
          <cell r="E1368" t="str">
            <v>ÁCIDO FOSFÓRICO</v>
          </cell>
          <cell r="F1368" t="str">
            <v>NITRON GROUP LLC</v>
          </cell>
          <cell r="P1368">
            <v>168</v>
          </cell>
          <cell r="R1368" t="str">
            <v>CFR</v>
          </cell>
          <cell r="S1368">
            <v>1002</v>
          </cell>
          <cell r="Y1368">
            <v>44302</v>
          </cell>
          <cell r="AF1368" t="str">
            <v>MATARANI</v>
          </cell>
        </row>
        <row r="1369">
          <cell r="C1369" t="str">
            <v>MF-024.2/21</v>
          </cell>
          <cell r="E1369" t="str">
            <v>ÁCIDO FOSFÓRICO</v>
          </cell>
          <cell r="F1369" t="str">
            <v>NITRON GROUP LLC</v>
          </cell>
          <cell r="P1369">
            <v>48</v>
          </cell>
          <cell r="R1369" t="str">
            <v>CFR</v>
          </cell>
          <cell r="S1369">
            <v>1002</v>
          </cell>
          <cell r="Y1369">
            <v>44366</v>
          </cell>
          <cell r="AF1369" t="str">
            <v>MATARANI</v>
          </cell>
        </row>
        <row r="1370">
          <cell r="C1370" t="str">
            <v>MF-025A/21</v>
          </cell>
          <cell r="E1370" t="str">
            <v>CLORURO DE POTASIO ROJO GRANULAR</v>
          </cell>
          <cell r="F1370" t="str">
            <v>URALKALI</v>
          </cell>
          <cell r="P1370">
            <v>180</v>
          </cell>
          <cell r="R1370" t="str">
            <v>CFR</v>
          </cell>
          <cell r="S1370">
            <v>270</v>
          </cell>
          <cell r="Y1370">
            <v>44349</v>
          </cell>
          <cell r="AF1370" t="str">
            <v>PAITA</v>
          </cell>
        </row>
        <row r="1371">
          <cell r="C1371" t="str">
            <v>MF-025B/21</v>
          </cell>
          <cell r="E1371" t="str">
            <v>CLORURO DE POTASIO ROJO GRANULAR</v>
          </cell>
          <cell r="F1371" t="str">
            <v>URALKALI</v>
          </cell>
          <cell r="P1371">
            <v>1620</v>
          </cell>
          <cell r="R1371" t="str">
            <v>CFR</v>
          </cell>
          <cell r="S1371">
            <v>270</v>
          </cell>
          <cell r="Y1371">
            <v>44352</v>
          </cell>
          <cell r="AF1371" t="str">
            <v>SALAVERRY</v>
          </cell>
        </row>
        <row r="1372">
          <cell r="C1372" t="str">
            <v>MF-025C/21</v>
          </cell>
          <cell r="E1372" t="str">
            <v>CLORURO DE POTASIO ROJO GRANULAR</v>
          </cell>
          <cell r="F1372" t="str">
            <v>URALKALI</v>
          </cell>
          <cell r="P1372">
            <v>2430</v>
          </cell>
          <cell r="R1372" t="str">
            <v>CFR</v>
          </cell>
          <cell r="S1372">
            <v>270</v>
          </cell>
          <cell r="Y1372">
            <v>44359</v>
          </cell>
          <cell r="AF1372" t="str">
            <v>PISCO</v>
          </cell>
        </row>
        <row r="1373">
          <cell r="C1373" t="str">
            <v>MF-025D/21</v>
          </cell>
          <cell r="E1373" t="str">
            <v>CLORURO DE POTASIO ROJO GRANULAR</v>
          </cell>
          <cell r="F1373" t="str">
            <v>URALKALI</v>
          </cell>
          <cell r="P1373">
            <v>90</v>
          </cell>
          <cell r="R1373" t="str">
            <v>CFR</v>
          </cell>
          <cell r="S1373">
            <v>270</v>
          </cell>
          <cell r="Y1373">
            <v>44359</v>
          </cell>
          <cell r="AF1373" t="str">
            <v>PISCO</v>
          </cell>
        </row>
        <row r="1374">
          <cell r="C1374" t="str">
            <v>MF-025E/21</v>
          </cell>
          <cell r="E1374" t="str">
            <v>CLORURO DE POTASIO ROJO GRANULAR</v>
          </cell>
          <cell r="F1374" t="str">
            <v>URALKALI</v>
          </cell>
          <cell r="P1374">
            <v>1530</v>
          </cell>
          <cell r="R1374" t="str">
            <v>CFR</v>
          </cell>
          <cell r="S1374">
            <v>270</v>
          </cell>
          <cell r="Y1374">
            <v>44363</v>
          </cell>
          <cell r="AF1374" t="str">
            <v>MATARANI</v>
          </cell>
        </row>
        <row r="1375">
          <cell r="C1375" t="str">
            <v>MF-026A/21</v>
          </cell>
          <cell r="E1375" t="str">
            <v>UREA GRANULADA</v>
          </cell>
          <cell r="F1375" t="str">
            <v xml:space="preserve">TGO Agriculture (USA) Inc. </v>
          </cell>
          <cell r="P1375">
            <v>600</v>
          </cell>
          <cell r="R1375" t="str">
            <v>CFR</v>
          </cell>
          <cell r="S1375">
            <v>399</v>
          </cell>
          <cell r="Y1375">
            <v>44343</v>
          </cell>
          <cell r="AF1375" t="str">
            <v>SALAVERRY</v>
          </cell>
        </row>
        <row r="1376">
          <cell r="C1376" t="str">
            <v>MF-026B/21</v>
          </cell>
          <cell r="E1376" t="str">
            <v>UREA GRANULADA</v>
          </cell>
          <cell r="F1376" t="str">
            <v xml:space="preserve">TGO Agriculture (USA) Inc. </v>
          </cell>
          <cell r="P1376">
            <v>2400</v>
          </cell>
          <cell r="R1376" t="str">
            <v>CFR</v>
          </cell>
          <cell r="S1376">
            <v>399</v>
          </cell>
          <cell r="Y1376">
            <v>44356</v>
          </cell>
          <cell r="AF1376" t="str">
            <v>CALLAO</v>
          </cell>
        </row>
        <row r="1377">
          <cell r="C1377" t="str">
            <v>MF-026C/21</v>
          </cell>
          <cell r="E1377" t="str">
            <v>UREA GRANULADA</v>
          </cell>
          <cell r="F1377" t="str">
            <v xml:space="preserve">TGO Agriculture (USA) Inc. </v>
          </cell>
          <cell r="P1377">
            <v>2400</v>
          </cell>
          <cell r="R1377" t="str">
            <v>CFR</v>
          </cell>
          <cell r="S1377">
            <v>399</v>
          </cell>
          <cell r="Y1377">
            <v>44354</v>
          </cell>
          <cell r="AF1377" t="str">
            <v>MATARANI</v>
          </cell>
        </row>
        <row r="1378">
          <cell r="C1378" t="str">
            <v>MF-027A.1/21</v>
          </cell>
          <cell r="E1378" t="str">
            <v>SULFATO DE POTASIO GRANULAR</v>
          </cell>
          <cell r="F1378" t="str">
            <v>K+S Minerals and Agriculture GmbH</v>
          </cell>
          <cell r="P1378">
            <v>56.022181818181799</v>
          </cell>
          <cell r="R1378" t="str">
            <v>CPT</v>
          </cell>
          <cell r="S1378">
            <v>463</v>
          </cell>
          <cell r="Y1378">
            <v>44332</v>
          </cell>
          <cell r="AF1378" t="str">
            <v>CALLAO</v>
          </cell>
        </row>
        <row r="1379">
          <cell r="C1379" t="str">
            <v>MF-027A.2/21</v>
          </cell>
          <cell r="E1379" t="str">
            <v>SULFATO DE POTASIO GRANULAR</v>
          </cell>
          <cell r="F1379" t="str">
            <v>K+S Minerals and Agriculture GmbH</v>
          </cell>
          <cell r="P1379">
            <v>252.09981818181819</v>
          </cell>
          <cell r="R1379" t="str">
            <v>CPT</v>
          </cell>
          <cell r="S1379">
            <v>463</v>
          </cell>
          <cell r="Y1379">
            <v>44342</v>
          </cell>
          <cell r="AF1379" t="str">
            <v>CALLAO</v>
          </cell>
        </row>
        <row r="1380">
          <cell r="C1380" t="str">
            <v>MF-027B/21</v>
          </cell>
          <cell r="E1380" t="str">
            <v>SULFATO DE POTASIO GRANULAR</v>
          </cell>
          <cell r="F1380" t="str">
            <v>K+S Minerals and Agriculture GmbH</v>
          </cell>
          <cell r="P1380">
            <v>112.012</v>
          </cell>
          <cell r="R1380" t="str">
            <v>CPT</v>
          </cell>
          <cell r="S1380">
            <v>488</v>
          </cell>
          <cell r="Y1380">
            <v>44302</v>
          </cell>
          <cell r="AF1380" t="str">
            <v>MATARANI</v>
          </cell>
        </row>
        <row r="1381">
          <cell r="C1381" t="str">
            <v>MF-028A1/21</v>
          </cell>
          <cell r="E1381" t="str">
            <v>SULFATO DE ZINC HEPTAHIDRATADO</v>
          </cell>
          <cell r="F1381" t="str">
            <v>WEGROW AG</v>
          </cell>
          <cell r="P1381">
            <v>135</v>
          </cell>
          <cell r="R1381" t="str">
            <v>CPT</v>
          </cell>
          <cell r="S1381">
            <v>590</v>
          </cell>
          <cell r="Y1381">
            <v>44418</v>
          </cell>
          <cell r="AF1381" t="str">
            <v>CALLAO</v>
          </cell>
        </row>
        <row r="1382">
          <cell r="C1382" t="str">
            <v>MF-028A2/21</v>
          </cell>
          <cell r="E1382" t="str">
            <v>SULFATO DE ZINC HEPTAHIDRATADO</v>
          </cell>
          <cell r="F1382" t="str">
            <v>WEGROW AG</v>
          </cell>
          <cell r="P1382">
            <v>162</v>
          </cell>
          <cell r="R1382" t="str">
            <v>CPT</v>
          </cell>
          <cell r="S1382">
            <v>590</v>
          </cell>
          <cell r="Y1382">
            <v>44412</v>
          </cell>
          <cell r="AF1382" t="str">
            <v>CALLAO</v>
          </cell>
        </row>
        <row r="1383">
          <cell r="C1383" t="str">
            <v>MF-028B1/21</v>
          </cell>
          <cell r="E1383" t="str">
            <v>SULFATO DE ZINC HEPTAHIDRATADO</v>
          </cell>
          <cell r="F1383" t="str">
            <v>WEGROW AG</v>
          </cell>
          <cell r="P1383">
            <v>243</v>
          </cell>
          <cell r="R1383" t="str">
            <v>CPT</v>
          </cell>
          <cell r="S1383">
            <v>605</v>
          </cell>
          <cell r="Y1383">
            <v>44342</v>
          </cell>
          <cell r="AF1383" t="str">
            <v>PAITA</v>
          </cell>
        </row>
        <row r="1384">
          <cell r="C1384" t="str">
            <v>MF-028B2/21</v>
          </cell>
          <cell r="E1384" t="str">
            <v>SULFATO DE ZINC HEPTAHIDRATADO</v>
          </cell>
          <cell r="F1384" t="str">
            <v>WEGROW AG</v>
          </cell>
          <cell r="P1384">
            <v>108</v>
          </cell>
          <cell r="R1384" t="str">
            <v>CPT</v>
          </cell>
          <cell r="S1384">
            <v>605</v>
          </cell>
          <cell r="Y1384">
            <v>44363</v>
          </cell>
          <cell r="AF1384" t="str">
            <v>PAITA</v>
          </cell>
        </row>
        <row r="1385">
          <cell r="C1385" t="str">
            <v>MF-028B3/21</v>
          </cell>
          <cell r="E1385" t="str">
            <v>SULFATO DE ZINC HEPTAHIDRATADO</v>
          </cell>
          <cell r="F1385" t="str">
            <v>WEGROW AG</v>
          </cell>
          <cell r="P1385">
            <v>135</v>
          </cell>
          <cell r="R1385" t="str">
            <v>CPT</v>
          </cell>
          <cell r="S1385">
            <v>605</v>
          </cell>
          <cell r="Y1385">
            <v>44407</v>
          </cell>
          <cell r="AF1385" t="str">
            <v>PAITA</v>
          </cell>
        </row>
        <row r="1386">
          <cell r="C1386" t="str">
            <v>MF-028C/21</v>
          </cell>
          <cell r="E1386" t="str">
            <v>SULFATO DE ZINC HEPTAHIDRATADO</v>
          </cell>
          <cell r="F1386" t="str">
            <v>WEGROW AG</v>
          </cell>
          <cell r="P1386">
            <v>81</v>
          </cell>
          <cell r="R1386" t="str">
            <v>CPT</v>
          </cell>
          <cell r="S1386">
            <v>590</v>
          </cell>
          <cell r="Y1386">
            <v>44434</v>
          </cell>
          <cell r="AF1386" t="str">
            <v>CALLAO</v>
          </cell>
        </row>
        <row r="1387">
          <cell r="C1387" t="str">
            <v>MF-029A/21</v>
          </cell>
          <cell r="E1387" t="str">
            <v>NITRATO DE MAGNESIO HEXAHIDRATADO</v>
          </cell>
          <cell r="F1387" t="str">
            <v>SOLINC INDUSTRIAL CO., LIMITED</v>
          </cell>
          <cell r="P1387">
            <v>249.7</v>
          </cell>
          <cell r="R1387" t="str">
            <v>CFR</v>
          </cell>
          <cell r="S1387">
            <v>245</v>
          </cell>
          <cell r="Y1387">
            <v>44347</v>
          </cell>
          <cell r="AF1387" t="str">
            <v>CALLAO</v>
          </cell>
        </row>
        <row r="1388">
          <cell r="C1388" t="str">
            <v>MF-029B/21</v>
          </cell>
          <cell r="E1388" t="str">
            <v>NITRATO DE MAGNESIO HEXAHIDRATADO</v>
          </cell>
          <cell r="F1388" t="str">
            <v>SOLINC INDUSTRIAL CO., LIMITED</v>
          </cell>
          <cell r="P1388">
            <v>100</v>
          </cell>
          <cell r="R1388" t="str">
            <v>CFR</v>
          </cell>
          <cell r="S1388">
            <v>255</v>
          </cell>
          <cell r="Y1388">
            <v>44427</v>
          </cell>
          <cell r="AF1388" t="str">
            <v>CALLAO</v>
          </cell>
        </row>
        <row r="1389">
          <cell r="C1389" t="str">
            <v>MF-030A/21</v>
          </cell>
          <cell r="E1389" t="str">
            <v>NITRATO DE POTASIO CRISTALIZADO</v>
          </cell>
          <cell r="F1389" t="str">
            <v>WEGROW AG</v>
          </cell>
          <cell r="P1389">
            <v>552</v>
          </cell>
          <cell r="R1389" t="str">
            <v>CFR</v>
          </cell>
          <cell r="S1389">
            <v>640</v>
          </cell>
          <cell r="Y1389">
            <v>44330</v>
          </cell>
          <cell r="AF1389" t="str">
            <v>PAITA</v>
          </cell>
        </row>
        <row r="1390">
          <cell r="C1390" t="str">
            <v>MF-030B1/21</v>
          </cell>
          <cell r="E1390" t="str">
            <v>NITRATO DE POTASIO CRISTALIZADO</v>
          </cell>
          <cell r="F1390" t="str">
            <v>WEGROW AG</v>
          </cell>
          <cell r="P1390">
            <v>432</v>
          </cell>
          <cell r="R1390" t="str">
            <v>CFR</v>
          </cell>
          <cell r="S1390">
            <v>635</v>
          </cell>
          <cell r="Y1390">
            <v>44318</v>
          </cell>
          <cell r="AF1390" t="str">
            <v>CALLAO</v>
          </cell>
        </row>
        <row r="1391">
          <cell r="C1391" t="str">
            <v>MF-030B2/21</v>
          </cell>
          <cell r="E1391" t="str">
            <v>NITRATO DE POTASIO CRISTALIZADO</v>
          </cell>
          <cell r="F1391" t="str">
            <v>WEGROW AG</v>
          </cell>
          <cell r="P1391">
            <v>24</v>
          </cell>
          <cell r="R1391" t="str">
            <v>CFR</v>
          </cell>
          <cell r="S1391">
            <v>635</v>
          </cell>
          <cell r="Y1391">
            <v>44334</v>
          </cell>
          <cell r="AF1391" t="str">
            <v>CALLAO</v>
          </cell>
        </row>
        <row r="1392">
          <cell r="C1392" t="str">
            <v>MF-031A/21</v>
          </cell>
          <cell r="E1392" t="str">
            <v>NITRATO DE POTASIO CRISTALIZADO</v>
          </cell>
          <cell r="F1392" t="str">
            <v>WEGROW AG</v>
          </cell>
          <cell r="P1392">
            <v>576</v>
          </cell>
          <cell r="R1392" t="str">
            <v>CFR</v>
          </cell>
          <cell r="S1392">
            <v>640</v>
          </cell>
          <cell r="Y1392">
            <v>44344</v>
          </cell>
          <cell r="AF1392" t="str">
            <v>PAITA</v>
          </cell>
        </row>
        <row r="1393">
          <cell r="C1393" t="str">
            <v>MF-031B/21</v>
          </cell>
          <cell r="E1393" t="str">
            <v>NITRATO DE POTASIO CRISTALIZADO</v>
          </cell>
          <cell r="F1393" t="str">
            <v>WEGROW AG</v>
          </cell>
          <cell r="P1393">
            <v>456</v>
          </cell>
          <cell r="R1393" t="str">
            <v>CFR</v>
          </cell>
          <cell r="S1393">
            <v>635</v>
          </cell>
          <cell r="Y1393">
            <v>44322</v>
          </cell>
          <cell r="AF1393" t="str">
            <v>CALLAO</v>
          </cell>
        </row>
        <row r="1394">
          <cell r="C1394" t="str">
            <v>MF-032A/21</v>
          </cell>
          <cell r="E1394" t="str">
            <v>NITRATO DE POTASIO CRISTALIZADO</v>
          </cell>
          <cell r="F1394" t="str">
            <v>WEGROW AG</v>
          </cell>
          <cell r="P1394">
            <v>0</v>
          </cell>
          <cell r="R1394">
            <v>0</v>
          </cell>
          <cell r="S1394">
            <v>0</v>
          </cell>
          <cell r="Y1394">
            <v>0</v>
          </cell>
          <cell r="AF1394">
            <v>0</v>
          </cell>
        </row>
        <row r="1395">
          <cell r="C1395" t="str">
            <v>MF-032B/21</v>
          </cell>
          <cell r="E1395" t="str">
            <v>NITRATO DE POTASIO CRISTALIZADO</v>
          </cell>
          <cell r="F1395" t="str">
            <v>WEGROW AG</v>
          </cell>
          <cell r="P1395">
            <v>0</v>
          </cell>
          <cell r="R1395">
            <v>0</v>
          </cell>
          <cell r="S1395">
            <v>0</v>
          </cell>
          <cell r="Y1395">
            <v>0</v>
          </cell>
          <cell r="AF1395">
            <v>0</v>
          </cell>
        </row>
        <row r="1396">
          <cell r="C1396" t="str">
            <v>MF-033A/21</v>
          </cell>
          <cell r="E1396" t="str">
            <v>UREA PERLADA</v>
          </cell>
          <cell r="F1396" t="str">
            <v>NITRON GROUP LLC</v>
          </cell>
          <cell r="P1396">
            <v>200</v>
          </cell>
          <cell r="R1396" t="str">
            <v>CFR</v>
          </cell>
          <cell r="S1396">
            <v>398.35750000000002</v>
          </cell>
          <cell r="Y1396">
            <v>44274</v>
          </cell>
          <cell r="AF1396" t="str">
            <v>PAITA</v>
          </cell>
        </row>
        <row r="1397">
          <cell r="C1397" t="str">
            <v>MF-033B/21</v>
          </cell>
          <cell r="E1397" t="str">
            <v>UREA PERLADA</v>
          </cell>
          <cell r="F1397" t="str">
            <v>NITRON GROUP LLC</v>
          </cell>
          <cell r="P1397">
            <v>600</v>
          </cell>
          <cell r="R1397" t="str">
            <v>CFR</v>
          </cell>
          <cell r="S1397">
            <v>398.35750000000002</v>
          </cell>
          <cell r="Y1397">
            <v>44276</v>
          </cell>
          <cell r="AF1397" t="str">
            <v>SALAVERRY</v>
          </cell>
        </row>
        <row r="1398">
          <cell r="C1398" t="str">
            <v>MF-033C/21</v>
          </cell>
          <cell r="E1398" t="str">
            <v>UREA PERLADA</v>
          </cell>
          <cell r="F1398" t="str">
            <v>NITRON GROUP LLC</v>
          </cell>
          <cell r="P1398">
            <v>500</v>
          </cell>
          <cell r="R1398" t="str">
            <v>CFR</v>
          </cell>
          <cell r="S1398">
            <v>398.35750000000002</v>
          </cell>
          <cell r="Y1398">
            <v>44279</v>
          </cell>
          <cell r="AF1398" t="str">
            <v>CALLAO</v>
          </cell>
        </row>
        <row r="1399">
          <cell r="C1399" t="str">
            <v>MF-033D/21</v>
          </cell>
          <cell r="E1399" t="str">
            <v>UREA PERLADA</v>
          </cell>
          <cell r="F1399" t="str">
            <v>NITRON GROUP LLC</v>
          </cell>
          <cell r="P1399">
            <v>700</v>
          </cell>
          <cell r="R1399" t="str">
            <v>CFR</v>
          </cell>
          <cell r="S1399">
            <v>398.35750000000002</v>
          </cell>
          <cell r="Y1399">
            <v>44282</v>
          </cell>
          <cell r="AF1399" t="str">
            <v>MATARANI</v>
          </cell>
        </row>
        <row r="1400">
          <cell r="C1400" t="str">
            <v>MF-034/21</v>
          </cell>
          <cell r="E1400" t="str">
            <v>UREA GRANULADA</v>
          </cell>
          <cell r="F1400" t="str">
            <v>NITRON GROUP LLC</v>
          </cell>
          <cell r="P1400">
            <v>880</v>
          </cell>
          <cell r="R1400" t="str">
            <v>CFR</v>
          </cell>
          <cell r="S1400">
            <v>403.4</v>
          </cell>
          <cell r="Y1400">
            <v>44276</v>
          </cell>
          <cell r="AF1400" t="str">
            <v>PAITA</v>
          </cell>
        </row>
        <row r="1401">
          <cell r="C1401" t="str">
            <v>MF-035.1/21</v>
          </cell>
          <cell r="E1401" t="str">
            <v xml:space="preserve">SULFATO DE MAGNESIO HEPTAHIDRATADO </v>
          </cell>
          <cell r="F1401" t="str">
            <v>STAR GRACE MINING CO.,LTD</v>
          </cell>
          <cell r="P1401">
            <v>1300</v>
          </cell>
          <cell r="R1401" t="str">
            <v>CFR</v>
          </cell>
          <cell r="S1401">
            <v>101</v>
          </cell>
          <cell r="Y1401">
            <v>44367</v>
          </cell>
          <cell r="AF1401" t="str">
            <v>CALLAO</v>
          </cell>
        </row>
        <row r="1402">
          <cell r="C1402" t="str">
            <v>MF-035.2/21</v>
          </cell>
          <cell r="E1402" t="str">
            <v xml:space="preserve">SULFATO DE MAGNESIO HEPTAHIDRATADO </v>
          </cell>
          <cell r="F1402" t="str">
            <v>STAR GRACE MINING CO.,LTD</v>
          </cell>
          <cell r="P1402">
            <v>500</v>
          </cell>
          <cell r="R1402" t="str">
            <v>CFR</v>
          </cell>
          <cell r="S1402">
            <v>101</v>
          </cell>
          <cell r="Y1402">
            <v>44575</v>
          </cell>
          <cell r="AF1402" t="str">
            <v>CALLAO</v>
          </cell>
        </row>
        <row r="1403">
          <cell r="C1403" t="str">
            <v>MF-036.1/21</v>
          </cell>
          <cell r="E1403" t="str">
            <v xml:space="preserve">SULFATO DE MAGNESIO HEPTAHIDRATADO </v>
          </cell>
          <cell r="F1403" t="str">
            <v>STAR GRACE MINING CO.,LTD</v>
          </cell>
          <cell r="P1403">
            <v>2800</v>
          </cell>
          <cell r="R1403" t="str">
            <v>CFR</v>
          </cell>
          <cell r="S1403">
            <v>119</v>
          </cell>
          <cell r="Y1403">
            <v>44468</v>
          </cell>
          <cell r="AF1403" t="str">
            <v>PAITA</v>
          </cell>
        </row>
        <row r="1404">
          <cell r="C1404" t="str">
            <v>MF-036.2/21</v>
          </cell>
          <cell r="E1404" t="str">
            <v xml:space="preserve">SULFATO DE MAGNESIO HEPTAHIDRATADO </v>
          </cell>
          <cell r="F1404" t="str">
            <v>STAR GRACE MINING CO.,LTD</v>
          </cell>
          <cell r="P1404">
            <v>0</v>
          </cell>
          <cell r="R1404">
            <v>0</v>
          </cell>
          <cell r="S1404">
            <v>0</v>
          </cell>
          <cell r="Y1404">
            <v>0</v>
          </cell>
          <cell r="AF1404">
            <v>0</v>
          </cell>
        </row>
        <row r="1405">
          <cell r="C1405" t="str">
            <v>MF-037/21</v>
          </cell>
          <cell r="E1405" t="str">
            <v xml:space="preserve">SULFATO DE MAGNESIO HEPTAHIDRATADO </v>
          </cell>
          <cell r="F1405" t="str">
            <v>STAR GRACE MINING CO.,LTD</v>
          </cell>
          <cell r="P1405">
            <v>400</v>
          </cell>
          <cell r="R1405" t="str">
            <v>CFR</v>
          </cell>
          <cell r="S1405">
            <v>112</v>
          </cell>
          <cell r="Y1405">
            <v>44374</v>
          </cell>
          <cell r="AF1405" t="str">
            <v>MATARANI</v>
          </cell>
        </row>
        <row r="1406">
          <cell r="C1406" t="str">
            <v>MF-038/21</v>
          </cell>
          <cell r="E1406" t="str">
            <v>SULFATO DE POTASIO SOLUBLE - SOLUSOP52</v>
          </cell>
          <cell r="F1406" t="str">
            <v>K+S Minerals and Agriculture GmbH</v>
          </cell>
          <cell r="P1406">
            <v>23.1</v>
          </cell>
          <cell r="R1406" t="str">
            <v>CPT</v>
          </cell>
          <cell r="S1406">
            <v>715</v>
          </cell>
          <cell r="Y1406">
            <v>44314</v>
          </cell>
          <cell r="AF1406" t="str">
            <v>PAITA</v>
          </cell>
        </row>
        <row r="1407">
          <cell r="C1407" t="str">
            <v>MF-039A/21</v>
          </cell>
          <cell r="E1407" t="str">
            <v>UREA GRANULADA</v>
          </cell>
          <cell r="F1407" t="str">
            <v xml:space="preserve">TGO Agriculture (USA) Inc. </v>
          </cell>
          <cell r="P1407">
            <v>0</v>
          </cell>
          <cell r="R1407">
            <v>0</v>
          </cell>
          <cell r="S1407">
            <v>0</v>
          </cell>
          <cell r="Y1407">
            <v>0</v>
          </cell>
          <cell r="AF1407">
            <v>0</v>
          </cell>
        </row>
        <row r="1408">
          <cell r="C1408" t="str">
            <v>MF-039B/21</v>
          </cell>
          <cell r="E1408" t="str">
            <v>UREA GRANULADA</v>
          </cell>
          <cell r="F1408" t="str">
            <v xml:space="preserve">TGO Agriculture (USA) Inc. </v>
          </cell>
          <cell r="P1408">
            <v>0</v>
          </cell>
          <cell r="R1408">
            <v>0</v>
          </cell>
          <cell r="S1408">
            <v>0</v>
          </cell>
          <cell r="Y1408">
            <v>0</v>
          </cell>
          <cell r="AF1408">
            <v>0</v>
          </cell>
        </row>
        <row r="1409">
          <cell r="C1409" t="str">
            <v>MF-039C/21</v>
          </cell>
          <cell r="E1409" t="str">
            <v>UREA GRANULADA</v>
          </cell>
          <cell r="F1409" t="str">
            <v xml:space="preserve">TGO Agriculture (USA) Inc. </v>
          </cell>
          <cell r="P1409">
            <v>0</v>
          </cell>
          <cell r="R1409">
            <v>0</v>
          </cell>
          <cell r="S1409">
            <v>0</v>
          </cell>
          <cell r="Y1409">
            <v>0</v>
          </cell>
          <cell r="AF1409">
            <v>0</v>
          </cell>
        </row>
        <row r="1410">
          <cell r="C1410" t="str">
            <v>MF-040A/21</v>
          </cell>
          <cell r="E1410" t="str">
            <v>SULFATO DE AMONIO ESTÁNDAR</v>
          </cell>
          <cell r="F1410" t="str">
            <v xml:space="preserve">TGO Agriculture (USA) Inc. </v>
          </cell>
          <cell r="P1410">
            <v>1300</v>
          </cell>
          <cell r="R1410" t="str">
            <v>CFR</v>
          </cell>
          <cell r="S1410">
            <v>174</v>
          </cell>
          <cell r="Y1410">
            <v>44331</v>
          </cell>
          <cell r="AF1410" t="str">
            <v>PAITA</v>
          </cell>
        </row>
        <row r="1411">
          <cell r="C1411" t="str">
            <v>MF-040B/21</v>
          </cell>
          <cell r="E1411" t="str">
            <v>SULFATO DE AMONIO ESTÁNDAR</v>
          </cell>
          <cell r="F1411" t="str">
            <v xml:space="preserve">TGO Agriculture (USA) Inc. </v>
          </cell>
          <cell r="P1411">
            <v>600</v>
          </cell>
          <cell r="R1411" t="str">
            <v>CFR</v>
          </cell>
          <cell r="S1411">
            <v>174</v>
          </cell>
          <cell r="Y1411">
            <v>44343</v>
          </cell>
          <cell r="AF1411" t="str">
            <v>SALAVERRY</v>
          </cell>
        </row>
        <row r="1412">
          <cell r="C1412" t="str">
            <v>MF-040C/21</v>
          </cell>
          <cell r="E1412" t="str">
            <v>SULFATO DE AMONIO ESTÁNDAR</v>
          </cell>
          <cell r="F1412" t="str">
            <v xml:space="preserve">TGO Agriculture (USA) Inc. </v>
          </cell>
          <cell r="P1412">
            <v>300</v>
          </cell>
          <cell r="R1412" t="str">
            <v>CFR</v>
          </cell>
          <cell r="S1412">
            <v>174</v>
          </cell>
          <cell r="Y1412">
            <v>44356</v>
          </cell>
          <cell r="AF1412" t="str">
            <v>CALLAO</v>
          </cell>
        </row>
        <row r="1413">
          <cell r="C1413" t="str">
            <v>MF-040D/21</v>
          </cell>
          <cell r="E1413" t="str">
            <v>SULFATO DE AMONIO ESTÁNDAR</v>
          </cell>
          <cell r="F1413" t="str">
            <v xml:space="preserve">TGO Agriculture (USA) Inc. </v>
          </cell>
          <cell r="P1413">
            <v>180</v>
          </cell>
          <cell r="R1413" t="str">
            <v>CFR</v>
          </cell>
          <cell r="S1413">
            <v>174</v>
          </cell>
          <cell r="Y1413">
            <v>44352</v>
          </cell>
          <cell r="AF1413" t="str">
            <v>PISCO</v>
          </cell>
        </row>
        <row r="1414">
          <cell r="C1414" t="str">
            <v>MF-040E/21</v>
          </cell>
          <cell r="E1414" t="str">
            <v>SULFATO DE AMONIO ESTÁNDAR</v>
          </cell>
          <cell r="F1414" t="str">
            <v xml:space="preserve">TGO Agriculture (USA) Inc. </v>
          </cell>
          <cell r="P1414">
            <v>320</v>
          </cell>
          <cell r="R1414" t="str">
            <v>CFR</v>
          </cell>
          <cell r="S1414">
            <v>174</v>
          </cell>
          <cell r="Y1414">
            <v>44354</v>
          </cell>
          <cell r="AF1414" t="str">
            <v>MATARANI</v>
          </cell>
        </row>
        <row r="1415">
          <cell r="C1415" t="str">
            <v>MF-041/21</v>
          </cell>
          <cell r="E1415" t="str">
            <v>YARABELA NITROMAG X50KG</v>
          </cell>
          <cell r="F1415" t="str">
            <v>YARA PERÚ SRL</v>
          </cell>
          <cell r="P1415">
            <v>0</v>
          </cell>
          <cell r="R1415">
            <v>0</v>
          </cell>
          <cell r="S1415">
            <v>0</v>
          </cell>
          <cell r="Y1415">
            <v>0</v>
          </cell>
          <cell r="AF1415">
            <v>0</v>
          </cell>
        </row>
        <row r="1416">
          <cell r="C1416" t="str">
            <v>MF-042/21</v>
          </cell>
          <cell r="E1416" t="str">
            <v>YARATERA CALCINIT X 25KG</v>
          </cell>
          <cell r="F1416" t="str">
            <v>YARA PERÚ SRL</v>
          </cell>
          <cell r="P1416">
            <v>513</v>
          </cell>
          <cell r="R1416" t="str">
            <v>CFR</v>
          </cell>
          <cell r="S1416">
            <v>230</v>
          </cell>
          <cell r="Y1416">
            <v>44247</v>
          </cell>
          <cell r="AF1416" t="str">
            <v>CALLAO</v>
          </cell>
        </row>
        <row r="1417">
          <cell r="C1417" t="str">
            <v>MF-043/21</v>
          </cell>
          <cell r="E1417" t="str">
            <v>YARATERA CALCINIT X 25KG</v>
          </cell>
          <cell r="F1417" t="str">
            <v>YARA PERÚ SRL</v>
          </cell>
          <cell r="P1417">
            <v>648</v>
          </cell>
          <cell r="R1417" t="str">
            <v>CFR</v>
          </cell>
          <cell r="S1417">
            <v>230</v>
          </cell>
          <cell r="Y1417">
            <v>44244</v>
          </cell>
          <cell r="AF1417" t="str">
            <v>PAITA</v>
          </cell>
        </row>
        <row r="1418">
          <cell r="C1418" t="str">
            <v>MF-044/21</v>
          </cell>
          <cell r="E1418" t="str">
            <v>SULFATO DE POTASIO GRANULAR</v>
          </cell>
          <cell r="F1418" t="str">
            <v>K+S Minerals and Agriculture GmbH</v>
          </cell>
          <cell r="P1418">
            <v>224.08199999999999</v>
          </cell>
          <cell r="R1418" t="str">
            <v>CPT</v>
          </cell>
          <cell r="S1418">
            <v>495</v>
          </cell>
          <cell r="Y1418">
            <v>44482</v>
          </cell>
          <cell r="AF1418" t="str">
            <v>PAITA</v>
          </cell>
        </row>
        <row r="1419">
          <cell r="C1419" t="str">
            <v>MF-045/21</v>
          </cell>
          <cell r="E1419" t="str">
            <v>SULFATO DE POTASIO GRANULAR</v>
          </cell>
          <cell r="F1419" t="str">
            <v>K+S Minerals and Agriculture GmbH</v>
          </cell>
          <cell r="P1419">
            <v>223.93600000000001</v>
          </cell>
          <cell r="R1419" t="str">
            <v>CPT</v>
          </cell>
          <cell r="S1419">
            <v>485</v>
          </cell>
          <cell r="Y1419">
            <v>44483</v>
          </cell>
          <cell r="AF1419" t="str">
            <v>CALLAO</v>
          </cell>
        </row>
        <row r="1420">
          <cell r="C1420" t="str">
            <v>MF-046/21</v>
          </cell>
          <cell r="E1420" t="str">
            <v>YARAMILA COMPLEX</v>
          </cell>
          <cell r="F1420" t="str">
            <v>YARA PERÚ SRL</v>
          </cell>
          <cell r="P1420">
            <v>241.29</v>
          </cell>
          <cell r="R1420" t="str">
            <v>CFR</v>
          </cell>
          <cell r="S1420">
            <v>561.41999999999996</v>
          </cell>
          <cell r="Y1420">
            <v>44280</v>
          </cell>
          <cell r="AF1420" t="str">
            <v>CALLAO</v>
          </cell>
        </row>
        <row r="1421">
          <cell r="C1421" t="str">
            <v>MF-047/21</v>
          </cell>
          <cell r="E1421" t="str">
            <v>YARALIVA NITRABOR A GRANEL</v>
          </cell>
          <cell r="F1421" t="str">
            <v>YARA PERÚ SRL</v>
          </cell>
          <cell r="P1421">
            <v>53.5</v>
          </cell>
          <cell r="R1421" t="str">
            <v>CFR</v>
          </cell>
          <cell r="S1421">
            <v>278.05</v>
          </cell>
          <cell r="Y1421">
            <v>44300</v>
          </cell>
          <cell r="AF1421" t="str">
            <v>PAITA</v>
          </cell>
        </row>
        <row r="1422">
          <cell r="C1422" t="str">
            <v>MF-048/21</v>
          </cell>
          <cell r="E1422" t="str">
            <v>YARALIVA NITRABOR A GRANEL</v>
          </cell>
          <cell r="F1422" t="str">
            <v>YARA PERÚ SRL</v>
          </cell>
          <cell r="P1422">
            <v>53.7</v>
          </cell>
          <cell r="R1422" t="str">
            <v>CFR</v>
          </cell>
          <cell r="S1422">
            <v>280.64999999999998</v>
          </cell>
          <cell r="Y1422">
            <v>44301</v>
          </cell>
          <cell r="AF1422" t="str">
            <v>CALLAO</v>
          </cell>
        </row>
        <row r="1423">
          <cell r="C1423" t="str">
            <v>MF-049/21</v>
          </cell>
          <cell r="E1423" t="str">
            <v>SULFATO DE POTASIO SOLUBLE</v>
          </cell>
          <cell r="F1423" t="str">
            <v>WEGROW AG</v>
          </cell>
          <cell r="P1423">
            <v>2500</v>
          </cell>
          <cell r="R1423" t="str">
            <v>CFR</v>
          </cell>
          <cell r="S1423">
            <v>477</v>
          </cell>
          <cell r="Y1423">
            <v>44465</v>
          </cell>
          <cell r="AF1423" t="str">
            <v>CALLAO</v>
          </cell>
        </row>
        <row r="1424">
          <cell r="C1424" t="str">
            <v>MF-050/21</v>
          </cell>
          <cell r="E1424" t="str">
            <v>SULFATO DE POTASIO SOLUBLE</v>
          </cell>
          <cell r="F1424" t="str">
            <v>WEGROW AG</v>
          </cell>
          <cell r="P1424">
            <v>3500</v>
          </cell>
          <cell r="R1424" t="str">
            <v>CFR</v>
          </cell>
          <cell r="S1424">
            <v>477</v>
          </cell>
          <cell r="Y1424">
            <v>44453</v>
          </cell>
          <cell r="AF1424" t="str">
            <v>PAITA</v>
          </cell>
        </row>
        <row r="1425">
          <cell r="C1425" t="str">
            <v>MF-051/21</v>
          </cell>
          <cell r="E1425" t="str">
            <v>SACO YARATERA CALCINIT X 25KG</v>
          </cell>
          <cell r="F1425" t="str">
            <v>YARA PERÚ SRL</v>
          </cell>
          <cell r="P1425">
            <v>16115</v>
          </cell>
          <cell r="R1425" t="str">
            <v>CFR</v>
          </cell>
          <cell r="S1425">
            <v>0.31</v>
          </cell>
          <cell r="Y1425">
            <v>44351</v>
          </cell>
          <cell r="AF1425" t="str">
            <v>CALLAO</v>
          </cell>
        </row>
        <row r="1426">
          <cell r="C1426" t="str">
            <v>MF-052/21</v>
          </cell>
          <cell r="E1426" t="str">
            <v>SACO YARATERA CALCINIT X 25KG</v>
          </cell>
          <cell r="F1426" t="str">
            <v>YARA PERÚ SRL</v>
          </cell>
          <cell r="P1426">
            <v>8500</v>
          </cell>
          <cell r="R1426" t="str">
            <v>CFR</v>
          </cell>
          <cell r="S1426">
            <v>0.31</v>
          </cell>
          <cell r="Y1426">
            <v>44342</v>
          </cell>
          <cell r="AF1426" t="str">
            <v>PAITA</v>
          </cell>
        </row>
        <row r="1427">
          <cell r="C1427" t="str">
            <v>MF-053/21</v>
          </cell>
          <cell r="E1427" t="str">
            <v>ÁCIDO FOSFÓRICO</v>
          </cell>
          <cell r="F1427" t="str">
            <v>NITRON GROUP LLC</v>
          </cell>
          <cell r="P1427">
            <v>108.8</v>
          </cell>
          <cell r="R1427" t="str">
            <v>CFR</v>
          </cell>
          <cell r="S1427">
            <v>1096.8699999999999</v>
          </cell>
          <cell r="Y1427">
            <v>44423</v>
          </cell>
          <cell r="AF1427" t="str">
            <v>PAITA</v>
          </cell>
        </row>
        <row r="1428">
          <cell r="C1428" t="str">
            <v>MF-054/21</v>
          </cell>
          <cell r="E1428" t="str">
            <v>ÁCIDO FOSFÓRICO</v>
          </cell>
          <cell r="F1428" t="str">
            <v>NITRON GROUP LLC</v>
          </cell>
          <cell r="P1428">
            <v>312</v>
          </cell>
          <cell r="R1428" t="str">
            <v>CFR</v>
          </cell>
          <cell r="S1428">
            <v>1076.52</v>
          </cell>
          <cell r="Y1428">
            <v>44442</v>
          </cell>
          <cell r="AF1428" t="str">
            <v>PAITA</v>
          </cell>
        </row>
        <row r="1429">
          <cell r="C1429" t="str">
            <v>MF-055/21</v>
          </cell>
          <cell r="E1429" t="str">
            <v>ÁCIDO FOSFÓRICO</v>
          </cell>
          <cell r="F1429" t="str">
            <v>NITRON GROUP LLC</v>
          </cell>
          <cell r="P1429">
            <v>312</v>
          </cell>
          <cell r="R1429" t="str">
            <v>CFR</v>
          </cell>
          <cell r="S1429">
            <v>1053.1099999999999</v>
          </cell>
          <cell r="Y1429">
            <v>44449</v>
          </cell>
          <cell r="AF1429" t="str">
            <v>CALLAO</v>
          </cell>
        </row>
        <row r="1430">
          <cell r="C1430" t="str">
            <v>MF-056.1/21</v>
          </cell>
          <cell r="E1430" t="str">
            <v>NITRATO DE MAGNESIO HEXAHIDRATADO</v>
          </cell>
          <cell r="F1430" t="str">
            <v>MITSUI &amp; CO., Ltda</v>
          </cell>
          <cell r="P1430">
            <v>500</v>
          </cell>
          <cell r="R1430" t="str">
            <v>CFR</v>
          </cell>
          <cell r="S1430">
            <v>305</v>
          </cell>
          <cell r="Y1430">
            <v>44347</v>
          </cell>
          <cell r="AF1430" t="str">
            <v>CALLAO</v>
          </cell>
        </row>
        <row r="1431">
          <cell r="C1431" t="str">
            <v>MF-056.2/21</v>
          </cell>
          <cell r="E1431" t="str">
            <v>NITRATO DE MAGNESIO HEXAHIDRATADO</v>
          </cell>
          <cell r="F1431" t="str">
            <v>MITSUI &amp; CO., Ltda</v>
          </cell>
          <cell r="P1431">
            <v>0</v>
          </cell>
          <cell r="R1431">
            <v>0</v>
          </cell>
          <cell r="S1431">
            <v>0</v>
          </cell>
          <cell r="Y1431">
            <v>0</v>
          </cell>
          <cell r="AF1431">
            <v>0</v>
          </cell>
        </row>
        <row r="1432">
          <cell r="C1432" t="str">
            <v>MF-057/21</v>
          </cell>
          <cell r="E1432" t="str">
            <v>NITRATO DE MAGNESIO HEXAHIDRATADO</v>
          </cell>
          <cell r="F1432" t="str">
            <v>WEGROW AG</v>
          </cell>
          <cell r="P1432">
            <v>350</v>
          </cell>
          <cell r="R1432" t="str">
            <v>CFR</v>
          </cell>
          <cell r="S1432">
            <v>336</v>
          </cell>
          <cell r="Y1432">
            <v>44453</v>
          </cell>
          <cell r="AF1432" t="str">
            <v>PAITA</v>
          </cell>
        </row>
        <row r="1433">
          <cell r="C1433" t="str">
            <v>MF-058/21</v>
          </cell>
          <cell r="E1433" t="str">
            <v>NYIELD ADITIVO</v>
          </cell>
          <cell r="F1433" t="str">
            <v>WEGROW AG</v>
          </cell>
          <cell r="P1433">
            <v>10.7</v>
          </cell>
          <cell r="R1433" t="str">
            <v>CPT</v>
          </cell>
          <cell r="S1433">
            <v>9906.5420560747662</v>
          </cell>
          <cell r="Y1433">
            <v>44323</v>
          </cell>
          <cell r="AF1433" t="str">
            <v>CALLAO</v>
          </cell>
        </row>
        <row r="1434">
          <cell r="C1434" t="str">
            <v>MF-059/21</v>
          </cell>
          <cell r="E1434" t="str">
            <v>TIOSULFATO DE CALCIO</v>
          </cell>
          <cell r="F1434" t="str">
            <v>WEGROW AG</v>
          </cell>
          <cell r="P1434">
            <v>24.8</v>
          </cell>
          <cell r="R1434" t="str">
            <v>CPT</v>
          </cell>
          <cell r="S1434">
            <v>960</v>
          </cell>
          <cell r="Y1434">
            <v>44314</v>
          </cell>
          <cell r="AF1434" t="str">
            <v>CALLAO</v>
          </cell>
        </row>
        <row r="1435">
          <cell r="C1435" t="str">
            <v>MF-060.1/21</v>
          </cell>
          <cell r="E1435" t="str">
            <v>EVOLHUMIC- DRIP X 10LT</v>
          </cell>
          <cell r="F1435" t="str">
            <v>ACTAGRO</v>
          </cell>
          <cell r="P1435">
            <v>17.962</v>
          </cell>
          <cell r="R1435" t="str">
            <v>CFR</v>
          </cell>
          <cell r="S1435">
            <v>1827.8588130497701</v>
          </cell>
          <cell r="Y1435">
            <v>44398</v>
          </cell>
          <cell r="AF1435" t="str">
            <v>CALLAO</v>
          </cell>
        </row>
        <row r="1436">
          <cell r="C1436" t="str">
            <v>MF-060.2/21</v>
          </cell>
          <cell r="E1436" t="str">
            <v>EVOLHUMIC- DRIP X 10LT</v>
          </cell>
          <cell r="F1436" t="str">
            <v>ACTAGRO</v>
          </cell>
          <cell r="P1436">
            <v>16.416</v>
          </cell>
          <cell r="R1436" t="str">
            <v>CFR</v>
          </cell>
          <cell r="S1436">
            <v>1990.1559454190999</v>
          </cell>
          <cell r="Y1436">
            <v>44398</v>
          </cell>
          <cell r="AF1436" t="str">
            <v>CALLAO</v>
          </cell>
        </row>
        <row r="1437">
          <cell r="C1437" t="str">
            <v>MF-061A/21</v>
          </cell>
          <cell r="E1437" t="str">
            <v>SULFATO DE AMONIO BLANCO GRANULAR</v>
          </cell>
          <cell r="F1437" t="str">
            <v xml:space="preserve">TGO Agriculture (USA) Inc. </v>
          </cell>
          <cell r="P1437">
            <v>470</v>
          </cell>
          <cell r="R1437" t="str">
            <v>CFR</v>
          </cell>
          <cell r="S1437">
            <v>219</v>
          </cell>
          <cell r="Y1437">
            <v>44331</v>
          </cell>
          <cell r="AF1437" t="str">
            <v>PAITA</v>
          </cell>
        </row>
        <row r="1438">
          <cell r="C1438" t="str">
            <v>MF-061B/21</v>
          </cell>
          <cell r="E1438" t="str">
            <v>SULFATO DE AMONIO BLANCO GRANULAR</v>
          </cell>
          <cell r="F1438" t="str">
            <v xml:space="preserve">TGO Agriculture (USA) Inc. </v>
          </cell>
          <cell r="P1438">
            <v>350</v>
          </cell>
          <cell r="R1438" t="str">
            <v>CFR</v>
          </cell>
          <cell r="S1438">
            <v>219</v>
          </cell>
          <cell r="Y1438">
            <v>44343</v>
          </cell>
          <cell r="AF1438" t="str">
            <v>SALAVERRY</v>
          </cell>
        </row>
        <row r="1439">
          <cell r="C1439" t="str">
            <v>MF-061C/21</v>
          </cell>
          <cell r="E1439" t="str">
            <v>SULFATO DE AMONIO BLANCO GRANULAR</v>
          </cell>
          <cell r="F1439" t="str">
            <v xml:space="preserve">TGO Agriculture (USA) Inc. </v>
          </cell>
          <cell r="P1439">
            <v>350</v>
          </cell>
          <cell r="R1439" t="str">
            <v>CFR</v>
          </cell>
          <cell r="S1439">
            <v>219</v>
          </cell>
          <cell r="Y1439">
            <v>44356</v>
          </cell>
          <cell r="AF1439" t="str">
            <v>CALLAO</v>
          </cell>
        </row>
        <row r="1440">
          <cell r="C1440" t="str">
            <v>MF-061D/21</v>
          </cell>
          <cell r="E1440" t="str">
            <v>SULFATO DE AMONIO BLANCO GRANULAR</v>
          </cell>
          <cell r="F1440" t="str">
            <v xml:space="preserve">TGO Agriculture (USA) Inc. </v>
          </cell>
          <cell r="P1440">
            <v>480</v>
          </cell>
          <cell r="R1440" t="str">
            <v>CFR</v>
          </cell>
          <cell r="S1440">
            <v>219</v>
          </cell>
          <cell r="Y1440">
            <v>44354</v>
          </cell>
          <cell r="AF1440" t="str">
            <v>MATARANI</v>
          </cell>
        </row>
        <row r="1441">
          <cell r="C1441" t="str">
            <v>MF-062/21</v>
          </cell>
          <cell r="E1441" t="str">
            <v>POTASHPLUS A GRANEL</v>
          </cell>
          <cell r="F1441" t="str">
            <v>ICL EUROPE COOPERATIEF U.A.</v>
          </cell>
          <cell r="P1441">
            <v>95.76</v>
          </cell>
          <cell r="R1441" t="str">
            <v>CFR</v>
          </cell>
          <cell r="S1441">
            <v>280</v>
          </cell>
          <cell r="Y1441">
            <v>44389</v>
          </cell>
          <cell r="AF1441" t="str">
            <v>CALLAO</v>
          </cell>
        </row>
        <row r="1442">
          <cell r="C1442" t="str">
            <v>MF-063.1/21</v>
          </cell>
          <cell r="E1442" t="str">
            <v>POTASHPLUS A GRANEL</v>
          </cell>
          <cell r="F1442" t="str">
            <v>ICL EUROPE COOPERATIEF U.A.</v>
          </cell>
          <cell r="P1442">
            <v>374.28</v>
          </cell>
          <cell r="R1442" t="str">
            <v>CFR</v>
          </cell>
          <cell r="S1442">
            <v>280</v>
          </cell>
          <cell r="Y1442">
            <v>44393</v>
          </cell>
          <cell r="AF1442" t="str">
            <v>PAITA</v>
          </cell>
        </row>
        <row r="1443">
          <cell r="C1443" t="str">
            <v>MF-063.2/21</v>
          </cell>
          <cell r="E1443" t="str">
            <v>POTASHPLUS A GRANEL</v>
          </cell>
          <cell r="F1443" t="str">
            <v>ICL EUROPE COOPERATIEF U.A.</v>
          </cell>
          <cell r="P1443">
            <v>24.34</v>
          </cell>
          <cell r="R1443" t="str">
            <v>CFR</v>
          </cell>
          <cell r="S1443">
            <v>280</v>
          </cell>
          <cell r="Y1443">
            <v>44422</v>
          </cell>
          <cell r="AF1443" t="str">
            <v>PAITA</v>
          </cell>
        </row>
        <row r="1444">
          <cell r="C1444" t="str">
            <v>MF-064/21</v>
          </cell>
          <cell r="E1444" t="str">
            <v>POLISULFATO GRANULADO</v>
          </cell>
          <cell r="F1444" t="str">
            <v>ICL EUROPE COOPERATIEF U.A.</v>
          </cell>
          <cell r="P1444">
            <v>200.48</v>
          </cell>
          <cell r="R1444" t="str">
            <v>CFR</v>
          </cell>
          <cell r="S1444">
            <v>265</v>
          </cell>
          <cell r="Y1444">
            <v>44338</v>
          </cell>
          <cell r="AF1444" t="str">
            <v>CALLAO</v>
          </cell>
        </row>
        <row r="1445">
          <cell r="C1445" t="str">
            <v>MF-065/21</v>
          </cell>
          <cell r="E1445" t="str">
            <v>YARAMILA KABAL PLUS NPK 10-30-10 X50KG</v>
          </cell>
          <cell r="F1445" t="str">
            <v>YARA PERÚ SRL</v>
          </cell>
          <cell r="P1445">
            <v>110</v>
          </cell>
          <cell r="R1445" t="str">
            <v>CFR</v>
          </cell>
          <cell r="S1445">
            <v>591</v>
          </cell>
          <cell r="Y1445">
            <v>44316</v>
          </cell>
          <cell r="AF1445" t="str">
            <v>CALLAO</v>
          </cell>
        </row>
        <row r="1446">
          <cell r="C1446" t="str">
            <v>MF-066/21</v>
          </cell>
          <cell r="E1446" t="str">
            <v>YARAMILA KABAL PLUS NPK 10-30-10 X50KG</v>
          </cell>
          <cell r="F1446" t="str">
            <v>YARA PERÚ SRL</v>
          </cell>
          <cell r="P1446">
            <v>396</v>
          </cell>
          <cell r="R1446" t="str">
            <v>CFR</v>
          </cell>
          <cell r="S1446">
            <v>591</v>
          </cell>
          <cell r="Y1446">
            <v>44366</v>
          </cell>
          <cell r="AF1446" t="str">
            <v>MATARANI</v>
          </cell>
        </row>
        <row r="1447">
          <cell r="C1447" t="str">
            <v>MF-067A/21</v>
          </cell>
          <cell r="E1447" t="str">
            <v>NITRATO DE AMONIO</v>
          </cell>
          <cell r="F1447" t="str">
            <v>URALCHEM (MITSUI)</v>
          </cell>
          <cell r="P1447">
            <v>440</v>
          </cell>
          <cell r="R1447" t="str">
            <v>CFR</v>
          </cell>
          <cell r="S1447">
            <v>356.63</v>
          </cell>
          <cell r="Y1447">
            <v>44349</v>
          </cell>
          <cell r="AF1447" t="str">
            <v>PAITA</v>
          </cell>
        </row>
        <row r="1448">
          <cell r="C1448" t="str">
            <v>MF-067B/21</v>
          </cell>
          <cell r="E1448" t="str">
            <v>NITRATO DE AMONIO</v>
          </cell>
          <cell r="F1448" t="str">
            <v>URALCHEM (MITSUI)</v>
          </cell>
          <cell r="P1448">
            <v>1320</v>
          </cell>
          <cell r="R1448" t="str">
            <v>CFR</v>
          </cell>
          <cell r="S1448">
            <v>356.63</v>
          </cell>
          <cell r="Y1448">
            <v>44352</v>
          </cell>
          <cell r="AF1448" t="str">
            <v>SALAVERRY</v>
          </cell>
        </row>
        <row r="1449">
          <cell r="C1449" t="str">
            <v>MF-067C/21</v>
          </cell>
          <cell r="E1449" t="str">
            <v>NITRATO DE AMONIO</v>
          </cell>
          <cell r="F1449" t="str">
            <v>URALCHEM (MITSUI)</v>
          </cell>
          <cell r="P1449">
            <v>1320</v>
          </cell>
          <cell r="R1449" t="str">
            <v>CFR</v>
          </cell>
          <cell r="S1449">
            <v>356.63</v>
          </cell>
          <cell r="Y1449">
            <v>44359</v>
          </cell>
          <cell r="AF1449" t="str">
            <v>PISCO</v>
          </cell>
        </row>
        <row r="1450">
          <cell r="C1450" t="str">
            <v>MF-067D/21</v>
          </cell>
          <cell r="E1450" t="str">
            <v>NITRATO DE AMONIO</v>
          </cell>
          <cell r="F1450" t="str">
            <v>URALCHEM (MITSUI)</v>
          </cell>
          <cell r="P1450">
            <v>330</v>
          </cell>
          <cell r="R1450" t="str">
            <v>CFR</v>
          </cell>
          <cell r="S1450">
            <v>356.63</v>
          </cell>
          <cell r="Y1450">
            <v>44359</v>
          </cell>
          <cell r="AF1450" t="str">
            <v>PISCO</v>
          </cell>
        </row>
        <row r="1451">
          <cell r="C1451" t="str">
            <v>MF-067E/21</v>
          </cell>
          <cell r="E1451" t="str">
            <v>NITRATO DE AMONIO</v>
          </cell>
          <cell r="F1451" t="str">
            <v>URALCHEM (MITSUI)</v>
          </cell>
          <cell r="P1451">
            <v>1540</v>
          </cell>
          <cell r="R1451" t="str">
            <v>CFR</v>
          </cell>
          <cell r="S1451">
            <v>356.63</v>
          </cell>
          <cell r="Y1451">
            <v>44363</v>
          </cell>
          <cell r="AF1451" t="str">
            <v>MATARANI</v>
          </cell>
        </row>
        <row r="1452">
          <cell r="C1452" t="str">
            <v>MF-068/21</v>
          </cell>
          <cell r="E1452" t="str">
            <v>SULFATO DE POTASIO GRANULAR</v>
          </cell>
          <cell r="F1452" t="str">
            <v>K+S Minerals and Agriculture GmbH</v>
          </cell>
          <cell r="P1452">
            <v>308.05399999999997</v>
          </cell>
          <cell r="R1452" t="str">
            <v>CPT</v>
          </cell>
          <cell r="S1452">
            <v>510</v>
          </cell>
          <cell r="Y1452">
            <v>44504</v>
          </cell>
          <cell r="AF1452" t="str">
            <v>CALLAO</v>
          </cell>
        </row>
        <row r="1453">
          <cell r="C1453" t="str">
            <v>MF-069/21</v>
          </cell>
          <cell r="E1453" t="str">
            <v>SULFATO FERROSO HEPTAHIDRATADO</v>
          </cell>
          <cell r="F1453" t="str">
            <v>DREYMOOR</v>
          </cell>
          <cell r="P1453">
            <v>100</v>
          </cell>
          <cell r="R1453" t="str">
            <v>CIF</v>
          </cell>
          <cell r="S1453">
            <v>172</v>
          </cell>
          <cell r="Y1453">
            <v>44440</v>
          </cell>
          <cell r="AF1453" t="str">
            <v>PAITA</v>
          </cell>
        </row>
        <row r="1454">
          <cell r="C1454" t="str">
            <v>MF-070/21</v>
          </cell>
          <cell r="E1454" t="str">
            <v>NITRATO DE MAGNESIO HEXAHIDRATADO</v>
          </cell>
          <cell r="F1454" t="str">
            <v>STAR GRACE MINING CO.,LTD</v>
          </cell>
          <cell r="P1454">
            <v>350</v>
          </cell>
          <cell r="R1454" t="str">
            <v>CFR</v>
          </cell>
          <cell r="S1454">
            <v>299</v>
          </cell>
          <cell r="Y1454">
            <v>44427</v>
          </cell>
          <cell r="AF1454" t="str">
            <v>CALLAO</v>
          </cell>
        </row>
        <row r="1455">
          <cell r="C1455" t="str">
            <v>MF-071/21</v>
          </cell>
          <cell r="E1455" t="str">
            <v>NITRATO DE MAGNESIO HEXAHIDRATADO</v>
          </cell>
          <cell r="F1455" t="str">
            <v>STAR GRACE MINING CO.,LTD</v>
          </cell>
          <cell r="P1455">
            <v>150</v>
          </cell>
          <cell r="R1455" t="str">
            <v>CFR</v>
          </cell>
          <cell r="S1455">
            <v>321</v>
          </cell>
          <cell r="Y1455">
            <v>44468</v>
          </cell>
          <cell r="AF1455" t="str">
            <v>PAITA</v>
          </cell>
        </row>
        <row r="1456">
          <cell r="C1456" t="str">
            <v>MF-072A/21</v>
          </cell>
          <cell r="E1456" t="str">
            <v>YARAMILA HYDRAN</v>
          </cell>
          <cell r="F1456" t="str">
            <v>YARA PERÚ SRL</v>
          </cell>
          <cell r="P1456">
            <v>650</v>
          </cell>
          <cell r="R1456" t="str">
            <v>CFR</v>
          </cell>
          <cell r="S1456">
            <v>476.1</v>
          </cell>
          <cell r="Y1456">
            <v>44349</v>
          </cell>
          <cell r="AF1456" t="str">
            <v>PAITA</v>
          </cell>
        </row>
        <row r="1457">
          <cell r="C1457" t="str">
            <v>MF-072B/21</v>
          </cell>
          <cell r="E1457" t="str">
            <v>YARAMILA HYDRAN</v>
          </cell>
          <cell r="F1457" t="str">
            <v>YARA PERÚ SRL</v>
          </cell>
          <cell r="P1457">
            <v>1650</v>
          </cell>
          <cell r="R1457" t="str">
            <v>CFR</v>
          </cell>
          <cell r="S1457">
            <v>476.1</v>
          </cell>
          <cell r="Y1457">
            <v>44359</v>
          </cell>
          <cell r="AF1457" t="str">
            <v>PISCO</v>
          </cell>
        </row>
        <row r="1458">
          <cell r="C1458" t="str">
            <v>MF-072C/21</v>
          </cell>
          <cell r="E1458" t="str">
            <v>YARAMILA HYDRAN</v>
          </cell>
          <cell r="F1458" t="str">
            <v>YARA PERÚ SRL</v>
          </cell>
          <cell r="P1458">
            <v>1003</v>
          </cell>
          <cell r="R1458" t="str">
            <v>CFR</v>
          </cell>
          <cell r="S1458">
            <v>476.1</v>
          </cell>
          <cell r="Y1458">
            <v>44363</v>
          </cell>
          <cell r="AF1458" t="str">
            <v>MATARANI</v>
          </cell>
        </row>
        <row r="1459">
          <cell r="C1459" t="str">
            <v>MF-072D/21</v>
          </cell>
          <cell r="E1459" t="str">
            <v>YARAMILA HYDRAN</v>
          </cell>
          <cell r="F1459" t="str">
            <v>YARA PERÚ SRL</v>
          </cell>
          <cell r="P1459">
            <v>0</v>
          </cell>
          <cell r="R1459">
            <v>0</v>
          </cell>
          <cell r="S1459">
            <v>0</v>
          </cell>
          <cell r="Y1459">
            <v>0</v>
          </cell>
          <cell r="AF1459">
            <v>0</v>
          </cell>
        </row>
        <row r="1460">
          <cell r="C1460" t="str">
            <v>MF-073A/21</v>
          </cell>
          <cell r="E1460" t="str">
            <v>YARAMILA COMPLEX</v>
          </cell>
          <cell r="F1460" t="str">
            <v>YARA PERÚ SRL</v>
          </cell>
          <cell r="P1460">
            <v>1200</v>
          </cell>
          <cell r="R1460" t="str">
            <v>CFR</v>
          </cell>
          <cell r="S1460">
            <v>624.9</v>
          </cell>
          <cell r="Y1460">
            <v>44349</v>
          </cell>
          <cell r="AF1460" t="str">
            <v>PAITA</v>
          </cell>
        </row>
        <row r="1461">
          <cell r="C1461" t="str">
            <v>MF-073B/21</v>
          </cell>
          <cell r="E1461" t="str">
            <v>YARAMILA COMPLEX</v>
          </cell>
          <cell r="F1461" t="str">
            <v>YARA PERÚ SRL</v>
          </cell>
          <cell r="P1461">
            <v>1000</v>
          </cell>
          <cell r="R1461" t="str">
            <v>CFR</v>
          </cell>
          <cell r="S1461">
            <v>624.9</v>
          </cell>
          <cell r="Y1461">
            <v>44352</v>
          </cell>
          <cell r="AF1461" t="str">
            <v>SALAVERRY</v>
          </cell>
        </row>
        <row r="1462">
          <cell r="C1462" t="str">
            <v>MF-073C/21</v>
          </cell>
          <cell r="E1462" t="str">
            <v>YARAMILA COMPLEX</v>
          </cell>
          <cell r="F1462" t="str">
            <v>YARA PERÚ SRL</v>
          </cell>
          <cell r="P1462">
            <v>1750</v>
          </cell>
          <cell r="R1462" t="str">
            <v>CFR</v>
          </cell>
          <cell r="S1462">
            <v>624.9</v>
          </cell>
          <cell r="Y1462">
            <v>44359</v>
          </cell>
          <cell r="AF1462" t="str">
            <v>PISCO</v>
          </cell>
        </row>
        <row r="1463">
          <cell r="C1463" t="str">
            <v>MF-073D/21</v>
          </cell>
          <cell r="E1463" t="str">
            <v>YARAMILA COMPLEX</v>
          </cell>
          <cell r="F1463" t="str">
            <v>YARA PERÚ SRL</v>
          </cell>
          <cell r="P1463">
            <v>1000</v>
          </cell>
          <cell r="R1463" t="str">
            <v>CFR</v>
          </cell>
          <cell r="S1463">
            <v>624.9</v>
          </cell>
          <cell r="Y1463">
            <v>44359</v>
          </cell>
          <cell r="AF1463" t="str">
            <v>PISCO</v>
          </cell>
        </row>
        <row r="1464">
          <cell r="C1464" t="str">
            <v>MF-073E/21</v>
          </cell>
          <cell r="E1464" t="str">
            <v>YARAMILA COMPLEX</v>
          </cell>
          <cell r="F1464" t="str">
            <v>YARA PERÚ SRL</v>
          </cell>
          <cell r="P1464">
            <v>1052</v>
          </cell>
          <cell r="R1464" t="str">
            <v>CFR</v>
          </cell>
          <cell r="S1464">
            <v>624.9</v>
          </cell>
          <cell r="Y1464">
            <v>44363</v>
          </cell>
          <cell r="AF1464" t="str">
            <v>MATARANI</v>
          </cell>
        </row>
        <row r="1465">
          <cell r="C1465" t="str">
            <v>MF-074/21</v>
          </cell>
          <cell r="E1465" t="str">
            <v>ÁCIDO FOSFÓRICO</v>
          </cell>
          <cell r="F1465" t="str">
            <v>NITRON GROUP LLC</v>
          </cell>
          <cell r="P1465">
            <v>300</v>
          </cell>
          <cell r="R1465" t="str">
            <v>CFR</v>
          </cell>
          <cell r="S1465">
            <v>1150</v>
          </cell>
          <cell r="Y1465">
            <v>44557</v>
          </cell>
          <cell r="AF1465" t="str">
            <v>CALLAO</v>
          </cell>
        </row>
        <row r="1466">
          <cell r="C1466" t="str">
            <v>MF-075/21</v>
          </cell>
          <cell r="E1466" t="str">
            <v>ÁCIDO FOSFÓRICO</v>
          </cell>
          <cell r="F1466" t="str">
            <v>NITRON GROUP LLC</v>
          </cell>
          <cell r="P1466">
            <v>100</v>
          </cell>
          <cell r="R1466" t="str">
            <v>CFR</v>
          </cell>
          <cell r="S1466">
            <v>1170</v>
          </cell>
          <cell r="Y1466">
            <v>44562</v>
          </cell>
          <cell r="AF1466" t="str">
            <v>PAITA</v>
          </cell>
        </row>
        <row r="1467">
          <cell r="C1467" t="str">
            <v>MF-076A/21</v>
          </cell>
          <cell r="E1467" t="str">
            <v>SULFATO DE AMONIO ESTÁNDAR</v>
          </cell>
          <cell r="F1467" t="str">
            <v xml:space="preserve">TGO Agriculture (USA) Inc. </v>
          </cell>
          <cell r="P1467">
            <v>2600</v>
          </cell>
          <cell r="R1467" t="str">
            <v>CFR</v>
          </cell>
          <cell r="S1467">
            <v>218.34</v>
          </cell>
          <cell r="Y1467">
            <v>44452</v>
          </cell>
          <cell r="AF1467" t="str">
            <v>PAITA</v>
          </cell>
        </row>
        <row r="1468">
          <cell r="C1468" t="str">
            <v>MF-076B/21</v>
          </cell>
          <cell r="E1468" t="str">
            <v>SULFATO DE AMONIO ESTÁNDAR</v>
          </cell>
          <cell r="F1468" t="str">
            <v xml:space="preserve">TGO Agriculture (USA) Inc. </v>
          </cell>
          <cell r="P1468">
            <v>2225</v>
          </cell>
          <cell r="R1468" t="str">
            <v>CFR</v>
          </cell>
          <cell r="S1468">
            <v>218.34</v>
          </cell>
          <cell r="Y1468">
            <v>44459</v>
          </cell>
          <cell r="AF1468" t="str">
            <v>SALAVERRY</v>
          </cell>
        </row>
        <row r="1469">
          <cell r="C1469" t="str">
            <v>MF-076C/21</v>
          </cell>
          <cell r="E1469" t="str">
            <v>SULFATO DE AMONIO ESTÁNDAR</v>
          </cell>
          <cell r="F1469" t="str">
            <v xml:space="preserve">TGO Agriculture (USA) Inc. </v>
          </cell>
          <cell r="P1469">
            <v>890</v>
          </cell>
          <cell r="R1469" t="str">
            <v>CFR</v>
          </cell>
          <cell r="S1469">
            <v>218.34</v>
          </cell>
          <cell r="Y1469">
            <v>44469</v>
          </cell>
          <cell r="AF1469" t="str">
            <v>CALLAO</v>
          </cell>
        </row>
        <row r="1470">
          <cell r="C1470" t="str">
            <v>MF-076D/21</v>
          </cell>
          <cell r="E1470" t="str">
            <v>SULFATO DE AMONIO ESTÁNDAR</v>
          </cell>
          <cell r="F1470" t="str">
            <v xml:space="preserve">TGO Agriculture (USA) Inc. </v>
          </cell>
          <cell r="P1470">
            <v>420</v>
          </cell>
          <cell r="R1470" t="str">
            <v>CFR</v>
          </cell>
          <cell r="S1470">
            <v>218.34</v>
          </cell>
          <cell r="Y1470">
            <v>44475</v>
          </cell>
          <cell r="AF1470" t="str">
            <v>MATARANI</v>
          </cell>
        </row>
        <row r="1471">
          <cell r="C1471" t="str">
            <v>MF-077A/21</v>
          </cell>
          <cell r="E1471" t="str">
            <v>FOSFATO DIAMÓNICO GRANULAR</v>
          </cell>
          <cell r="F1471" t="str">
            <v xml:space="preserve">TGO Agriculture (USA) Inc. </v>
          </cell>
          <cell r="P1471">
            <v>950</v>
          </cell>
          <cell r="R1471" t="str">
            <v>CFR</v>
          </cell>
          <cell r="S1471">
            <v>603.47</v>
          </cell>
          <cell r="Y1471">
            <v>44459</v>
          </cell>
          <cell r="AF1471" t="str">
            <v>SALAVERRY</v>
          </cell>
        </row>
        <row r="1472">
          <cell r="C1472" t="str">
            <v>MF-077B/21</v>
          </cell>
          <cell r="E1472" t="str">
            <v>FOSFATO DIAMÓNICO GRANULAR</v>
          </cell>
          <cell r="F1472" t="str">
            <v xml:space="preserve">TGO Agriculture (USA) Inc. </v>
          </cell>
          <cell r="P1472">
            <v>2150</v>
          </cell>
          <cell r="R1472" t="str">
            <v>CFR</v>
          </cell>
          <cell r="S1472">
            <v>603.47</v>
          </cell>
          <cell r="Y1472">
            <v>44469</v>
          </cell>
          <cell r="AF1472" t="str">
            <v>CALLAO</v>
          </cell>
        </row>
        <row r="1473">
          <cell r="C1473" t="str">
            <v>MF-077C/21</v>
          </cell>
          <cell r="E1473" t="str">
            <v>FOSFATO DIAMÓNICO GRANULAR</v>
          </cell>
          <cell r="F1473" t="str">
            <v xml:space="preserve">TGO Agriculture (USA) Inc. </v>
          </cell>
          <cell r="P1473">
            <v>1900</v>
          </cell>
          <cell r="R1473" t="str">
            <v>CFR</v>
          </cell>
          <cell r="S1473">
            <v>603.47</v>
          </cell>
          <cell r="Y1473">
            <v>44475</v>
          </cell>
          <cell r="AF1473" t="str">
            <v>MATARANI</v>
          </cell>
        </row>
        <row r="1474">
          <cell r="C1474" t="str">
            <v>MF-078A/21</v>
          </cell>
          <cell r="E1474" t="str">
            <v>FOSFATO MONOAMÓNICO GRANULAR</v>
          </cell>
          <cell r="F1474" t="str">
            <v xml:space="preserve">TGO Agriculture (USA) Inc. </v>
          </cell>
          <cell r="P1474">
            <v>5500</v>
          </cell>
          <cell r="R1474" t="str">
            <v>CFR</v>
          </cell>
          <cell r="S1474">
            <v>539.79</v>
          </cell>
          <cell r="Y1474">
            <v>44475</v>
          </cell>
          <cell r="AF1474" t="str">
            <v>MATARANI</v>
          </cell>
        </row>
        <row r="1475">
          <cell r="C1475" t="str">
            <v>MF-079A/21</v>
          </cell>
          <cell r="E1475" t="str">
            <v>UREA GRANULADA</v>
          </cell>
          <cell r="F1475" t="str">
            <v xml:space="preserve">TGO Agriculture (USA) Inc. </v>
          </cell>
          <cell r="P1475">
            <v>1060</v>
          </cell>
          <cell r="R1475" t="str">
            <v>CFR</v>
          </cell>
          <cell r="S1475">
            <v>401.3</v>
          </cell>
          <cell r="Y1475">
            <v>44452</v>
          </cell>
          <cell r="AF1475" t="str">
            <v>PAITA</v>
          </cell>
        </row>
        <row r="1476">
          <cell r="C1476" t="str">
            <v>MF-079B/21</v>
          </cell>
          <cell r="E1476" t="str">
            <v>UREA GRANULADA</v>
          </cell>
          <cell r="F1476" t="str">
            <v xml:space="preserve">TGO Agriculture (USA) Inc. </v>
          </cell>
          <cell r="P1476">
            <v>800</v>
          </cell>
          <cell r="R1476" t="str">
            <v>CFR</v>
          </cell>
          <cell r="S1476">
            <v>401.3</v>
          </cell>
          <cell r="Y1476">
            <v>44459</v>
          </cell>
          <cell r="AF1476" t="str">
            <v>SALAVERRY</v>
          </cell>
        </row>
        <row r="1477">
          <cell r="C1477" t="str">
            <v>MF-079C/21</v>
          </cell>
          <cell r="E1477" t="str">
            <v>UREA GRANULADA</v>
          </cell>
          <cell r="F1477" t="str">
            <v xml:space="preserve">TGO Agriculture (USA) Inc. </v>
          </cell>
          <cell r="P1477">
            <v>950</v>
          </cell>
          <cell r="R1477" t="str">
            <v>CFR</v>
          </cell>
          <cell r="S1477">
            <v>401.3</v>
          </cell>
          <cell r="Y1477">
            <v>44469</v>
          </cell>
          <cell r="AF1477" t="str">
            <v>CALLAO</v>
          </cell>
        </row>
        <row r="1478">
          <cell r="C1478" t="str">
            <v>MF-079D/21</v>
          </cell>
          <cell r="E1478" t="str">
            <v>UREA GRANULADA</v>
          </cell>
          <cell r="F1478" t="str">
            <v xml:space="preserve">TGO Agriculture (USA) Inc. </v>
          </cell>
          <cell r="P1478">
            <v>800</v>
          </cell>
          <cell r="R1478" t="str">
            <v>CFR</v>
          </cell>
          <cell r="S1478">
            <v>401.3</v>
          </cell>
          <cell r="Y1478">
            <v>44475</v>
          </cell>
          <cell r="AF1478" t="str">
            <v>MATARANI</v>
          </cell>
        </row>
        <row r="1479">
          <cell r="C1479" t="str">
            <v>MF-080A/21</v>
          </cell>
          <cell r="E1479" t="str">
            <v>UREA PERLADA</v>
          </cell>
          <cell r="F1479" t="str">
            <v xml:space="preserve">TGO Agriculture (USA) Inc. </v>
          </cell>
          <cell r="P1479">
            <v>2300</v>
          </cell>
          <cell r="R1479" t="str">
            <v>CFR</v>
          </cell>
          <cell r="S1479">
            <v>399.28</v>
          </cell>
          <cell r="Y1479">
            <v>44459</v>
          </cell>
          <cell r="AF1479" t="str">
            <v>SALAVERRY</v>
          </cell>
        </row>
        <row r="1480">
          <cell r="C1480" t="str">
            <v>MF-080B/21</v>
          </cell>
          <cell r="E1480" t="str">
            <v>UREA PERLADA</v>
          </cell>
          <cell r="F1480" t="str">
            <v xml:space="preserve">TGO Agriculture (USA) Inc. </v>
          </cell>
          <cell r="P1480">
            <v>1900</v>
          </cell>
          <cell r="R1480" t="str">
            <v>CFR</v>
          </cell>
          <cell r="S1480">
            <v>399.28</v>
          </cell>
          <cell r="Y1480">
            <v>44469</v>
          </cell>
          <cell r="AF1480" t="str">
            <v>CALLAO</v>
          </cell>
        </row>
        <row r="1481">
          <cell r="C1481" t="str">
            <v>MF-080C/21</v>
          </cell>
          <cell r="E1481" t="str">
            <v>UREA PERLADA</v>
          </cell>
          <cell r="F1481" t="str">
            <v xml:space="preserve">TGO Agriculture (USA) Inc. </v>
          </cell>
          <cell r="P1481">
            <v>1200</v>
          </cell>
          <cell r="R1481" t="str">
            <v>CFR</v>
          </cell>
          <cell r="S1481">
            <v>399.28</v>
          </cell>
          <cell r="Y1481">
            <v>44475</v>
          </cell>
          <cell r="AF1481" t="str">
            <v>MATARANI</v>
          </cell>
        </row>
        <row r="1482">
          <cell r="C1482" t="str">
            <v>MF-081/21</v>
          </cell>
          <cell r="E1482" t="str">
            <v>YARALIVA NITRABOR A GRANEL</v>
          </cell>
          <cell r="F1482" t="str">
            <v>YARA PERÚ SRL</v>
          </cell>
          <cell r="P1482">
            <v>107.35</v>
          </cell>
          <cell r="R1482" t="str">
            <v>CFR</v>
          </cell>
          <cell r="S1482">
            <v>293.37</v>
          </cell>
          <cell r="Y1482">
            <v>44363</v>
          </cell>
          <cell r="AF1482" t="str">
            <v>PAITA</v>
          </cell>
        </row>
        <row r="1483">
          <cell r="C1483" t="str">
            <v>MF-082/21</v>
          </cell>
          <cell r="E1483" t="str">
            <v>YARALIVA NITRABOR A GRANEL</v>
          </cell>
          <cell r="F1483" t="str">
            <v>YARA PERÚ SRL</v>
          </cell>
          <cell r="P1483">
            <v>107.25</v>
          </cell>
          <cell r="R1483" t="str">
            <v>CFR</v>
          </cell>
          <cell r="S1483">
            <v>292.11</v>
          </cell>
          <cell r="Y1483">
            <v>44364</v>
          </cell>
          <cell r="AF1483" t="str">
            <v>CALLAO</v>
          </cell>
        </row>
        <row r="1484">
          <cell r="C1484" t="str">
            <v>MF-083/21</v>
          </cell>
          <cell r="E1484" t="str">
            <v>YARALIVA NITRABOR A GRANEL</v>
          </cell>
          <cell r="F1484" t="str">
            <v>YARA PERÚ SRL</v>
          </cell>
          <cell r="P1484">
            <v>53.6</v>
          </cell>
          <cell r="R1484" t="str">
            <v>CFR</v>
          </cell>
          <cell r="S1484">
            <v>316.39999999999998</v>
          </cell>
          <cell r="Y1484">
            <v>44411</v>
          </cell>
          <cell r="AF1484" t="str">
            <v>MATARANI</v>
          </cell>
        </row>
        <row r="1485">
          <cell r="C1485" t="str">
            <v>MF-084/21</v>
          </cell>
          <cell r="E1485" t="str">
            <v>YARATERA REXOLIN ZN X 5KG</v>
          </cell>
          <cell r="F1485" t="str">
            <v>YARA PERÚ SRL</v>
          </cell>
          <cell r="P1485">
            <v>16</v>
          </cell>
          <cell r="R1485" t="str">
            <v>CFR</v>
          </cell>
          <cell r="S1485">
            <v>5500</v>
          </cell>
          <cell r="Y1485">
            <v>44427</v>
          </cell>
          <cell r="AF1485" t="str">
            <v>CALLAO</v>
          </cell>
        </row>
        <row r="1486">
          <cell r="C1486" t="str">
            <v>MF-085/21</v>
          </cell>
          <cell r="E1486" t="str">
            <v>YARALIVA NITRABOR A GRANEL</v>
          </cell>
          <cell r="F1486" t="str">
            <v>YARA PERÚ SRL</v>
          </cell>
          <cell r="P1486">
            <v>53.85</v>
          </cell>
          <cell r="R1486" t="str">
            <v>CFR</v>
          </cell>
          <cell r="S1486">
            <v>315.55</v>
          </cell>
          <cell r="Y1486">
            <v>44411</v>
          </cell>
          <cell r="AF1486" t="str">
            <v>MATARANI</v>
          </cell>
        </row>
        <row r="1487">
          <cell r="C1487" t="str">
            <v>MF-086/21</v>
          </cell>
          <cell r="E1487" t="str">
            <v>YARALIVA NITRABOR A GRANEL</v>
          </cell>
          <cell r="F1487" t="str">
            <v>YARA PERÚ SRL</v>
          </cell>
          <cell r="P1487">
            <v>267.60000000000002</v>
          </cell>
          <cell r="R1487" t="str">
            <v>CFR</v>
          </cell>
          <cell r="S1487">
            <v>292.93</v>
          </cell>
          <cell r="Y1487">
            <v>44391</v>
          </cell>
          <cell r="AF1487" t="str">
            <v>PAITA</v>
          </cell>
        </row>
        <row r="1488">
          <cell r="C1488" t="str">
            <v>MF-087/21</v>
          </cell>
          <cell r="E1488" t="str">
            <v>YARALIVA NITRABOR A GRANEL</v>
          </cell>
          <cell r="F1488" t="str">
            <v>YARA PERÚ SRL</v>
          </cell>
          <cell r="P1488">
            <v>187</v>
          </cell>
          <cell r="R1488" t="str">
            <v>CPT</v>
          </cell>
          <cell r="S1488">
            <v>291.7</v>
          </cell>
          <cell r="Y1488">
            <v>44399</v>
          </cell>
          <cell r="AF1488" t="str">
            <v>CALLAO</v>
          </cell>
        </row>
        <row r="1489">
          <cell r="C1489" t="str">
            <v>MF-088/21</v>
          </cell>
          <cell r="E1489" t="str">
            <v>FOSFATO MONOPOTASICO (MKP) X 25KG</v>
          </cell>
          <cell r="F1489" t="str">
            <v>EVA-FERT AG</v>
          </cell>
          <cell r="P1489">
            <v>100</v>
          </cell>
          <cell r="R1489" t="str">
            <v>CFR</v>
          </cell>
          <cell r="S1489">
            <v>1274</v>
          </cell>
          <cell r="Y1489">
            <v>44427</v>
          </cell>
          <cell r="AF1489" t="str">
            <v>CALLAO</v>
          </cell>
        </row>
        <row r="1490">
          <cell r="C1490" t="str">
            <v>MF-089/21</v>
          </cell>
          <cell r="E1490" t="str">
            <v>FOSFATO MONOPOTASICO (MKP) X 25KG</v>
          </cell>
          <cell r="F1490" t="str">
            <v>EVA-FERT AG</v>
          </cell>
          <cell r="P1490">
            <v>200</v>
          </cell>
          <cell r="R1490" t="str">
            <v>CFR</v>
          </cell>
          <cell r="S1490">
            <v>1284</v>
          </cell>
          <cell r="Y1490">
            <v>44565</v>
          </cell>
          <cell r="AF1490" t="str">
            <v>CALLAO</v>
          </cell>
        </row>
        <row r="1491">
          <cell r="C1491" t="str">
            <v>MF-090/21</v>
          </cell>
          <cell r="E1491" t="str">
            <v>YARATERA CALCINIT X 25KG</v>
          </cell>
          <cell r="F1491" t="str">
            <v>YARA PERÚ SRL</v>
          </cell>
          <cell r="P1491">
            <v>81</v>
          </cell>
          <cell r="R1491" t="str">
            <v>CFR</v>
          </cell>
          <cell r="S1491">
            <v>249</v>
          </cell>
          <cell r="Y1491">
            <v>44366</v>
          </cell>
          <cell r="AF1491" t="str">
            <v>MATARANI</v>
          </cell>
        </row>
        <row r="1492">
          <cell r="C1492" t="str">
            <v>MF-091/21</v>
          </cell>
          <cell r="E1492" t="str">
            <v>NITRATO DE POTASIO CRISTALIZADO</v>
          </cell>
          <cell r="F1492" t="str">
            <v>WEGROW AG</v>
          </cell>
          <cell r="P1492">
            <v>408</v>
          </cell>
          <cell r="R1492" t="str">
            <v>CPT</v>
          </cell>
          <cell r="S1492">
            <v>658</v>
          </cell>
          <cell r="Y1492">
            <v>44417</v>
          </cell>
          <cell r="AF1492" t="str">
            <v>CALLAO</v>
          </cell>
        </row>
        <row r="1493">
          <cell r="C1493" t="str">
            <v>MF-092.1/21</v>
          </cell>
          <cell r="E1493" t="str">
            <v>SULFATO DE MAGNESIO MONOHIDRATADO GRANULAR (KIESERITA)</v>
          </cell>
          <cell r="F1493" t="str">
            <v>WEGROW AG</v>
          </cell>
          <cell r="P1493">
            <v>750</v>
          </cell>
          <cell r="R1493" t="str">
            <v>CFR</v>
          </cell>
          <cell r="S1493">
            <v>214</v>
          </cell>
          <cell r="Y1493">
            <v>44429</v>
          </cell>
          <cell r="AF1493" t="str">
            <v>CALLAO</v>
          </cell>
        </row>
        <row r="1494">
          <cell r="C1494" t="str">
            <v>MF-092.2/21</v>
          </cell>
          <cell r="E1494" t="str">
            <v>SULFATO DE MAGNESIO MONOHIDRATADO GRANULAR (KIESERITA)</v>
          </cell>
          <cell r="F1494" t="str">
            <v>WEGROW AG</v>
          </cell>
          <cell r="P1494">
            <v>350</v>
          </cell>
          <cell r="R1494" t="str">
            <v>CFR</v>
          </cell>
          <cell r="S1494">
            <v>214</v>
          </cell>
          <cell r="Y1494">
            <v>44490</v>
          </cell>
          <cell r="AF1494" t="str">
            <v>CALLAO</v>
          </cell>
        </row>
        <row r="1495">
          <cell r="C1495" t="str">
            <v>MF-092.3/21</v>
          </cell>
          <cell r="E1495" t="str">
            <v>SULFATO DE MAGNESIO MONOHIDRATADO GRANULAR (KIESERITA)</v>
          </cell>
          <cell r="F1495" t="str">
            <v>WEGROW AG</v>
          </cell>
          <cell r="P1495">
            <v>501</v>
          </cell>
          <cell r="R1495" t="str">
            <v>CFR</v>
          </cell>
          <cell r="S1495">
            <v>214</v>
          </cell>
          <cell r="Y1495">
            <v>44490</v>
          </cell>
          <cell r="AF1495" t="str">
            <v>CALLAO</v>
          </cell>
        </row>
        <row r="1496">
          <cell r="C1496" t="str">
            <v>MF-093/21</v>
          </cell>
          <cell r="E1496" t="str">
            <v>SULFATO DE MAGNESIO MONOHIDRATADO GRANULAR (KIESERITA)</v>
          </cell>
          <cell r="F1496" t="str">
            <v>WEGROW AG</v>
          </cell>
          <cell r="P1496">
            <v>300</v>
          </cell>
          <cell r="R1496" t="str">
            <v>CFR</v>
          </cell>
          <cell r="S1496">
            <v>208</v>
          </cell>
          <cell r="Y1496">
            <v>44429</v>
          </cell>
          <cell r="AF1496" t="str">
            <v>CALLAO</v>
          </cell>
        </row>
        <row r="1497">
          <cell r="C1497" t="str">
            <v>MF-094/21</v>
          </cell>
          <cell r="E1497" t="str">
            <v>SULFATO DE MAGNESIO MONOHIDRATADO GRANULAR (KIESERITA)</v>
          </cell>
          <cell r="F1497" t="str">
            <v>WEGROW AG</v>
          </cell>
          <cell r="P1497">
            <v>200</v>
          </cell>
          <cell r="R1497" t="str">
            <v>CFR</v>
          </cell>
          <cell r="S1497">
            <v>227</v>
          </cell>
          <cell r="Y1497">
            <v>44442</v>
          </cell>
          <cell r="AF1497" t="str">
            <v>SALAVERRY</v>
          </cell>
        </row>
        <row r="1498">
          <cell r="C1498" t="str">
            <v>MF-095/21</v>
          </cell>
          <cell r="E1498" t="str">
            <v>SULFATO DE ZINC HEPTAHIDRATADO</v>
          </cell>
          <cell r="F1498" t="str">
            <v>WEGROW AG</v>
          </cell>
          <cell r="P1498">
            <v>349</v>
          </cell>
          <cell r="R1498" t="str">
            <v>CFR</v>
          </cell>
          <cell r="S1498">
            <v>713</v>
          </cell>
          <cell r="Y1498">
            <v>44490</v>
          </cell>
          <cell r="AF1498" t="str">
            <v>CALLAO</v>
          </cell>
        </row>
        <row r="1499">
          <cell r="C1499" t="str">
            <v>MF-096/21</v>
          </cell>
          <cell r="E1499" t="str">
            <v>SULFATO DE ZINC HEPTAHIDRATADO</v>
          </cell>
          <cell r="F1499" t="str">
            <v>WEGROW AG</v>
          </cell>
          <cell r="P1499">
            <v>0</v>
          </cell>
          <cell r="R1499">
            <v>0</v>
          </cell>
          <cell r="S1499">
            <v>0</v>
          </cell>
          <cell r="Y1499">
            <v>0</v>
          </cell>
          <cell r="AF1499">
            <v>0</v>
          </cell>
        </row>
        <row r="1500">
          <cell r="C1500" t="str">
            <v>MF-097/21</v>
          </cell>
          <cell r="E1500" t="str">
            <v>YARATERA CALCINIT X 25KG</v>
          </cell>
          <cell r="F1500" t="str">
            <v>YARA PERÚ SRL</v>
          </cell>
          <cell r="P1500">
            <v>513</v>
          </cell>
          <cell r="R1500" t="str">
            <v>CFR</v>
          </cell>
          <cell r="S1500">
            <v>249</v>
          </cell>
          <cell r="Y1500">
            <v>44342</v>
          </cell>
          <cell r="AF1500" t="str">
            <v>PAITA</v>
          </cell>
        </row>
        <row r="1501">
          <cell r="C1501" t="str">
            <v>MF-098.1/21</v>
          </cell>
          <cell r="E1501" t="str">
            <v>YARALIVA NITRABOR A GRANEL</v>
          </cell>
          <cell r="F1501" t="str">
            <v>YARA PERÚ SRL</v>
          </cell>
          <cell r="P1501">
            <v>214.75</v>
          </cell>
          <cell r="R1501" t="str">
            <v>CFR</v>
          </cell>
          <cell r="S1501">
            <v>322.76</v>
          </cell>
          <cell r="Y1501">
            <v>44440</v>
          </cell>
          <cell r="AF1501" t="str">
            <v>PAITA</v>
          </cell>
        </row>
        <row r="1502">
          <cell r="C1502" t="str">
            <v>MF-098.2/21</v>
          </cell>
          <cell r="E1502" t="str">
            <v>YARALIVA NITRABOR A GRANEL</v>
          </cell>
          <cell r="F1502" t="str">
            <v>YARA PERÚ SRL</v>
          </cell>
          <cell r="P1502">
            <v>0</v>
          </cell>
          <cell r="R1502">
            <v>0</v>
          </cell>
          <cell r="S1502">
            <v>0</v>
          </cell>
          <cell r="Y1502">
            <v>0</v>
          </cell>
          <cell r="AF1502">
            <v>0</v>
          </cell>
        </row>
        <row r="1503">
          <cell r="C1503" t="str">
            <v>MF-099/21</v>
          </cell>
          <cell r="E1503" t="str">
            <v>YARATERA CALCINIT X 25KG</v>
          </cell>
          <cell r="F1503" t="str">
            <v>YARA PERÚ SRL</v>
          </cell>
          <cell r="P1503">
            <v>216</v>
          </cell>
          <cell r="R1503" t="str">
            <v>CFR</v>
          </cell>
          <cell r="S1503">
            <v>249</v>
          </cell>
          <cell r="Y1503">
            <v>44370</v>
          </cell>
          <cell r="AF1503" t="str">
            <v>PAITA</v>
          </cell>
        </row>
        <row r="1504">
          <cell r="C1504" t="str">
            <v>MF-100/21</v>
          </cell>
          <cell r="E1504" t="str">
            <v>YARATERA CALCINIT X 25KG</v>
          </cell>
          <cell r="F1504" t="str">
            <v>YARA PERÚ SRL</v>
          </cell>
          <cell r="P1504">
            <v>270</v>
          </cell>
          <cell r="R1504" t="str">
            <v>CFR</v>
          </cell>
          <cell r="S1504">
            <v>249</v>
          </cell>
          <cell r="Y1504">
            <v>44351</v>
          </cell>
          <cell r="AF1504" t="str">
            <v>CALLAO</v>
          </cell>
        </row>
        <row r="1505">
          <cell r="C1505" t="str">
            <v>MF-101.1.2/21</v>
          </cell>
          <cell r="E1505" t="str">
            <v>YARALIVA CALCINIT X 25KG</v>
          </cell>
          <cell r="F1505" t="str">
            <v>YARA PERÚ SRL</v>
          </cell>
          <cell r="P1505">
            <v>91.8</v>
          </cell>
          <cell r="R1505" t="str">
            <v>CFR</v>
          </cell>
          <cell r="S1505">
            <v>249</v>
          </cell>
          <cell r="Y1505">
            <v>44356</v>
          </cell>
          <cell r="AF1505" t="str">
            <v>PAITA</v>
          </cell>
        </row>
        <row r="1506">
          <cell r="C1506" t="str">
            <v>MF-101.1.1/21</v>
          </cell>
          <cell r="E1506" t="str">
            <v>YARALIVA CALCINIT X 25KG</v>
          </cell>
          <cell r="F1506" t="str">
            <v>YARA PERÚ SRL</v>
          </cell>
          <cell r="P1506">
            <v>27</v>
          </cell>
          <cell r="R1506" t="str">
            <v>CFR</v>
          </cell>
          <cell r="S1506">
            <v>249</v>
          </cell>
          <cell r="Y1506">
            <v>44363</v>
          </cell>
          <cell r="AF1506" t="str">
            <v>PAITA</v>
          </cell>
        </row>
        <row r="1507">
          <cell r="C1507" t="str">
            <v>MF-101.2.2/21</v>
          </cell>
          <cell r="E1507" t="str">
            <v>YARATERA CALCINIT X 25KG</v>
          </cell>
          <cell r="F1507" t="str">
            <v>YARA PERÚ SRL</v>
          </cell>
          <cell r="P1507">
            <v>43.2</v>
          </cell>
          <cell r="R1507" t="str">
            <v>CFR</v>
          </cell>
          <cell r="S1507">
            <v>249</v>
          </cell>
          <cell r="Y1507">
            <v>44356</v>
          </cell>
          <cell r="AF1507" t="str">
            <v>PAITA</v>
          </cell>
        </row>
        <row r="1508">
          <cell r="C1508" t="str">
            <v>MF-101.2.1/21</v>
          </cell>
          <cell r="E1508" t="str">
            <v>YARATERA CALCINIT X 25KG</v>
          </cell>
          <cell r="F1508" t="str">
            <v>YARA PERÚ SRL</v>
          </cell>
          <cell r="P1508">
            <v>81</v>
          </cell>
          <cell r="R1508" t="str">
            <v>CFR</v>
          </cell>
          <cell r="S1508">
            <v>249</v>
          </cell>
          <cell r="Y1508">
            <v>44363</v>
          </cell>
          <cell r="AF1508" t="str">
            <v>PAITA</v>
          </cell>
        </row>
        <row r="1509">
          <cell r="C1509" t="str">
            <v>MF-102/21</v>
          </cell>
          <cell r="E1509" t="str">
            <v>YARATERA CALCINIT X 25KG</v>
          </cell>
          <cell r="F1509" t="str">
            <v>YARA PERÚ SRL</v>
          </cell>
          <cell r="P1509">
            <v>81</v>
          </cell>
          <cell r="R1509" t="str">
            <v>CFR</v>
          </cell>
          <cell r="S1509">
            <v>249</v>
          </cell>
          <cell r="Y1509">
            <v>44389</v>
          </cell>
          <cell r="AF1509" t="str">
            <v>CALLAO</v>
          </cell>
        </row>
        <row r="1510">
          <cell r="C1510" t="str">
            <v>MF-103/21</v>
          </cell>
          <cell r="E1510" t="str">
            <v>YARALIVA NITRABOR A GRANEL</v>
          </cell>
          <cell r="F1510" t="str">
            <v>YARA PERÚ SRL</v>
          </cell>
          <cell r="P1510">
            <v>214.65</v>
          </cell>
          <cell r="R1510" t="str">
            <v>CFR</v>
          </cell>
          <cell r="S1510">
            <v>320.51</v>
          </cell>
          <cell r="Y1510">
            <v>44448</v>
          </cell>
          <cell r="AF1510" t="str">
            <v>CALLAO</v>
          </cell>
        </row>
        <row r="1511">
          <cell r="C1511" t="str">
            <v>MF-104/21</v>
          </cell>
          <cell r="E1511" t="str">
            <v>YARALIVA NITRABOR A GRANEL</v>
          </cell>
          <cell r="F1511" t="str">
            <v>YARA PERÚ SRL</v>
          </cell>
          <cell r="P1511">
            <v>53.65</v>
          </cell>
          <cell r="R1511" t="str">
            <v>CFR</v>
          </cell>
          <cell r="S1511">
            <v>368.9</v>
          </cell>
          <cell r="Y1511">
            <v>44513</v>
          </cell>
          <cell r="AF1511" t="str">
            <v>MATARANI</v>
          </cell>
        </row>
        <row r="1512">
          <cell r="C1512" t="str">
            <v>MF-105/21</v>
          </cell>
          <cell r="E1512" t="str">
            <v>SULFATO DE ZINC HEPTAHIDRATADO</v>
          </cell>
          <cell r="F1512" t="str">
            <v>STAR GRACE MINING CO.,LTD</v>
          </cell>
          <cell r="P1512">
            <v>250</v>
          </cell>
          <cell r="R1512" t="str">
            <v>CFR</v>
          </cell>
          <cell r="S1512">
            <v>735</v>
          </cell>
          <cell r="Y1512">
            <v>44468</v>
          </cell>
          <cell r="AF1512" t="str">
            <v>PAITA</v>
          </cell>
        </row>
        <row r="1513">
          <cell r="C1513" t="str">
            <v>MF-106A/21</v>
          </cell>
          <cell r="E1513" t="str">
            <v>UREA ADBLUE (BIG BAG)</v>
          </cell>
          <cell r="F1513" t="str">
            <v xml:space="preserve">TGO Agriculture (USA) Inc. </v>
          </cell>
          <cell r="P1513">
            <v>150</v>
          </cell>
          <cell r="R1513" t="str">
            <v>CFR</v>
          </cell>
          <cell r="S1513">
            <v>505.42</v>
          </cell>
          <cell r="Y1513">
            <v>44459</v>
          </cell>
          <cell r="AF1513" t="str">
            <v>SALAVERRY</v>
          </cell>
        </row>
        <row r="1514">
          <cell r="C1514" t="str">
            <v>MF-106B/21</v>
          </cell>
          <cell r="E1514" t="str">
            <v>UREA ADBLUE (BIG BAG)</v>
          </cell>
          <cell r="F1514" t="str">
            <v xml:space="preserve">TGO Agriculture (USA) Inc. </v>
          </cell>
          <cell r="P1514">
            <v>800</v>
          </cell>
          <cell r="R1514" t="str">
            <v>CFR</v>
          </cell>
          <cell r="S1514">
            <v>505.42</v>
          </cell>
          <cell r="Y1514">
            <v>44469</v>
          </cell>
          <cell r="AF1514" t="str">
            <v>CALLAO</v>
          </cell>
        </row>
        <row r="1515">
          <cell r="C1515" t="str">
            <v>MF-106C/21</v>
          </cell>
          <cell r="E1515" t="str">
            <v>UREA ADBLUE (BIG BAG)</v>
          </cell>
          <cell r="F1515" t="str">
            <v xml:space="preserve">TGO Agriculture (USA) Inc. </v>
          </cell>
          <cell r="P1515">
            <v>150</v>
          </cell>
          <cell r="R1515" t="str">
            <v>CFR</v>
          </cell>
          <cell r="S1515">
            <v>505.42</v>
          </cell>
          <cell r="Y1515">
            <v>44475</v>
          </cell>
          <cell r="AF1515" t="str">
            <v>MATARANI</v>
          </cell>
        </row>
        <row r="1516">
          <cell r="C1516" t="str">
            <v>MF-107/21</v>
          </cell>
          <cell r="E1516" t="str">
            <v>MICROMAX ZN EDTA X 5KG</v>
          </cell>
          <cell r="F1516" t="str">
            <v>PPC ADOB Sp. z o.o. Sp. K.</v>
          </cell>
          <cell r="P1516">
            <v>18</v>
          </cell>
          <cell r="R1516" t="str">
            <v>CIF</v>
          </cell>
          <cell r="S1516">
            <v>5110</v>
          </cell>
          <cell r="Y1516">
            <v>44490</v>
          </cell>
          <cell r="AF1516" t="str">
            <v>CALLAO</v>
          </cell>
        </row>
        <row r="1517">
          <cell r="C1517" t="str">
            <v>MF-108A/21</v>
          </cell>
          <cell r="E1517" t="str">
            <v>UREA GRANULADA</v>
          </cell>
          <cell r="F1517" t="str">
            <v>AMEROPA</v>
          </cell>
          <cell r="P1517">
            <v>2500</v>
          </cell>
          <cell r="R1517" t="str">
            <v>CFR</v>
          </cell>
          <cell r="S1517">
            <v>436.5</v>
          </cell>
          <cell r="Y1517">
            <v>44352</v>
          </cell>
          <cell r="AF1517" t="str">
            <v>PAITA</v>
          </cell>
        </row>
        <row r="1518">
          <cell r="C1518" t="str">
            <v>MF-108B/21</v>
          </cell>
          <cell r="E1518" t="str">
            <v>UREA GRANULADA</v>
          </cell>
          <cell r="F1518" t="str">
            <v>AMEROPA</v>
          </cell>
          <cell r="P1518">
            <v>3000</v>
          </cell>
          <cell r="R1518" t="str">
            <v>CFR</v>
          </cell>
          <cell r="S1518">
            <v>436.5</v>
          </cell>
          <cell r="Y1518">
            <v>44355</v>
          </cell>
          <cell r="AF1518" t="str">
            <v>CALLAO</v>
          </cell>
        </row>
        <row r="1519">
          <cell r="C1519" t="str">
            <v>MF-108C/21</v>
          </cell>
          <cell r="E1519" t="str">
            <v>UREA GRANULADA</v>
          </cell>
          <cell r="F1519" t="str">
            <v>AMEROPA</v>
          </cell>
          <cell r="P1519">
            <v>6495</v>
          </cell>
          <cell r="R1519" t="str">
            <v>CFR</v>
          </cell>
          <cell r="S1519">
            <v>436.5</v>
          </cell>
          <cell r="Y1519">
            <v>44362</v>
          </cell>
          <cell r="AF1519" t="str">
            <v>MATARANI</v>
          </cell>
        </row>
        <row r="1520">
          <cell r="C1520" t="str">
            <v>MF-109/21</v>
          </cell>
          <cell r="E1520" t="str">
            <v>YARAMILA TRISTAR NKP 15-15-15 X50KG</v>
          </cell>
          <cell r="F1520" t="str">
            <v>YARA PERÚ SRL</v>
          </cell>
          <cell r="P1520">
            <v>264</v>
          </cell>
          <cell r="R1520" t="str">
            <v>CFR</v>
          </cell>
          <cell r="S1520">
            <v>550</v>
          </cell>
          <cell r="Y1520">
            <v>44411</v>
          </cell>
          <cell r="AF1520" t="str">
            <v>MATARANI</v>
          </cell>
        </row>
        <row r="1521">
          <cell r="C1521" t="str">
            <v>MF-110.1/21</v>
          </cell>
          <cell r="E1521" t="str">
            <v>YARAMILA KABAL PLUS NPK 10-30-10 X50KG</v>
          </cell>
          <cell r="F1521" t="str">
            <v>YARA PERÚ SRL</v>
          </cell>
          <cell r="P1521">
            <v>66</v>
          </cell>
          <cell r="R1521" t="str">
            <v>CFR</v>
          </cell>
          <cell r="S1521">
            <v>567</v>
          </cell>
          <cell r="Y1521">
            <v>44379</v>
          </cell>
          <cell r="AF1521" t="str">
            <v>CALLAO</v>
          </cell>
        </row>
        <row r="1522">
          <cell r="C1522" t="str">
            <v>MF-110.2/21</v>
          </cell>
          <cell r="E1522" t="str">
            <v>YARAMILA KABAL PLUS NPK 10-30-10 X50KG</v>
          </cell>
          <cell r="F1522" t="str">
            <v>YARA PERÚ SRL</v>
          </cell>
          <cell r="P1522">
            <v>88</v>
          </cell>
          <cell r="R1522" t="str">
            <v>CFR</v>
          </cell>
          <cell r="S1522">
            <v>567</v>
          </cell>
          <cell r="Y1522">
            <v>44385</v>
          </cell>
          <cell r="AF1522" t="str">
            <v>CALLAO</v>
          </cell>
        </row>
        <row r="1523">
          <cell r="C1523" t="str">
            <v>MF-111/21</v>
          </cell>
          <cell r="E1523" t="str">
            <v>YARAMILA KABAL PLUS NPK 10-30-10 X50KG</v>
          </cell>
          <cell r="F1523" t="str">
            <v>YARA PERÚ SRL</v>
          </cell>
          <cell r="P1523">
            <v>154</v>
          </cell>
          <cell r="R1523" t="str">
            <v>CFR</v>
          </cell>
          <cell r="S1523">
            <v>567</v>
          </cell>
          <cell r="Y1523">
            <v>44384</v>
          </cell>
          <cell r="AF1523" t="str">
            <v>PAITA</v>
          </cell>
        </row>
        <row r="1524">
          <cell r="C1524" t="str">
            <v>MF-112/21</v>
          </cell>
          <cell r="E1524" t="str">
            <v>YARAMILA KABAL PLUS NPK 10-30-10 X50KG</v>
          </cell>
          <cell r="F1524" t="str">
            <v>YARA PERÚ SRL</v>
          </cell>
          <cell r="P1524">
            <v>704</v>
          </cell>
          <cell r="R1524" t="str">
            <v>CFR</v>
          </cell>
          <cell r="S1524">
            <v>575</v>
          </cell>
          <cell r="Y1524">
            <v>44411</v>
          </cell>
          <cell r="AF1524" t="str">
            <v>MATARANI</v>
          </cell>
        </row>
        <row r="1525">
          <cell r="C1525" t="str">
            <v>MF-113/21</v>
          </cell>
          <cell r="E1525" t="str">
            <v>YARAMILA KABAL NPK 10-20-20 X 50KG</v>
          </cell>
          <cell r="F1525" t="str">
            <v>YARA PERÚ SRL</v>
          </cell>
          <cell r="P1525">
            <v>264</v>
          </cell>
          <cell r="R1525" t="str">
            <v>CFR</v>
          </cell>
          <cell r="S1525">
            <v>551</v>
          </cell>
          <cell r="Y1525">
            <v>44385</v>
          </cell>
          <cell r="AF1525" t="str">
            <v>CALLAO</v>
          </cell>
        </row>
        <row r="1526">
          <cell r="C1526" t="str">
            <v>MF-114/21</v>
          </cell>
          <cell r="E1526" t="str">
            <v>YARAMILA KABAL NPK 10-20-20 X 50KG</v>
          </cell>
          <cell r="F1526" t="str">
            <v>YARA PERÚ SRL</v>
          </cell>
          <cell r="P1526">
            <v>0</v>
          </cell>
          <cell r="R1526">
            <v>0</v>
          </cell>
          <cell r="S1526">
            <v>0</v>
          </cell>
          <cell r="Y1526">
            <v>0</v>
          </cell>
          <cell r="AF1526">
            <v>0</v>
          </cell>
        </row>
        <row r="1527">
          <cell r="C1527" t="str">
            <v>MF-115/21</v>
          </cell>
          <cell r="E1527" t="str">
            <v>YARAMILA KABAL NPK 10-20-20 X 50KG</v>
          </cell>
          <cell r="F1527" t="str">
            <v>YARA PERÚ SRL</v>
          </cell>
          <cell r="P1527">
            <v>0</v>
          </cell>
          <cell r="R1527">
            <v>0</v>
          </cell>
          <cell r="S1527">
            <v>0</v>
          </cell>
          <cell r="Y1527">
            <v>0</v>
          </cell>
          <cell r="AF1527">
            <v>0</v>
          </cell>
        </row>
        <row r="1528">
          <cell r="C1528" t="str">
            <v>MF-116/21</v>
          </cell>
          <cell r="E1528" t="str">
            <v>NITRATO DE POTASIO CRISTALIZADO</v>
          </cell>
          <cell r="F1528" t="str">
            <v>WEGROW AG</v>
          </cell>
          <cell r="P1528">
            <v>408</v>
          </cell>
          <cell r="R1528" t="str">
            <v>CPT</v>
          </cell>
          <cell r="S1528">
            <v>658</v>
          </cell>
          <cell r="Y1528">
            <v>44421</v>
          </cell>
          <cell r="AF1528" t="str">
            <v>CALLAO</v>
          </cell>
        </row>
        <row r="1529">
          <cell r="C1529" t="str">
            <v>MF-117/21</v>
          </cell>
          <cell r="E1529" t="str">
            <v>NITRATO DE POTASIO CRISTALIZADO</v>
          </cell>
          <cell r="F1529" t="str">
            <v>WEGROW AG</v>
          </cell>
          <cell r="P1529">
            <v>216</v>
          </cell>
          <cell r="R1529" t="str">
            <v>CPT</v>
          </cell>
          <cell r="S1529">
            <v>658</v>
          </cell>
          <cell r="Y1529">
            <v>44449</v>
          </cell>
          <cell r="AF1529" t="str">
            <v>CALLAO</v>
          </cell>
        </row>
        <row r="1530">
          <cell r="C1530" t="str">
            <v>MF-118A/21</v>
          </cell>
          <cell r="E1530" t="str">
            <v>NITRATO DE AMONIO</v>
          </cell>
          <cell r="F1530" t="str">
            <v>URALCHEM (MITSUI)</v>
          </cell>
          <cell r="P1530">
            <v>800</v>
          </cell>
          <cell r="R1530" t="str">
            <v>CFR</v>
          </cell>
          <cell r="S1530">
            <v>350.5</v>
          </cell>
          <cell r="Y1530">
            <v>44397</v>
          </cell>
          <cell r="AF1530" t="str">
            <v>PAITA</v>
          </cell>
        </row>
        <row r="1531">
          <cell r="C1531" t="str">
            <v>MF-118B/21</v>
          </cell>
          <cell r="E1531" t="str">
            <v>NITRATO DE AMONIO</v>
          </cell>
          <cell r="F1531" t="str">
            <v>URALCHEM (MITSUI)</v>
          </cell>
          <cell r="P1531">
            <v>1900</v>
          </cell>
          <cell r="R1531" t="str">
            <v>CFR</v>
          </cell>
          <cell r="S1531">
            <v>350.5</v>
          </cell>
          <cell r="Y1531">
            <v>44399</v>
          </cell>
          <cell r="AF1531" t="str">
            <v>SALAVERRY</v>
          </cell>
        </row>
        <row r="1532">
          <cell r="C1532" t="str">
            <v>MF-118C/21</v>
          </cell>
          <cell r="E1532" t="str">
            <v>NITRATO DE AMONIO</v>
          </cell>
          <cell r="F1532" t="str">
            <v>URALCHEM (MITSUI)</v>
          </cell>
          <cell r="P1532">
            <v>1300</v>
          </cell>
          <cell r="R1532" t="str">
            <v>CFR</v>
          </cell>
          <cell r="S1532">
            <v>350.5</v>
          </cell>
          <cell r="Y1532">
            <v>44407</v>
          </cell>
          <cell r="AF1532" t="str">
            <v>CALLAO</v>
          </cell>
        </row>
        <row r="1533">
          <cell r="C1533" t="str">
            <v>MF-118D/21</v>
          </cell>
          <cell r="E1533" t="str">
            <v>NITRATO DE AMONIO</v>
          </cell>
          <cell r="F1533" t="str">
            <v>URALCHEM (MITSUI)</v>
          </cell>
          <cell r="P1533">
            <v>1400</v>
          </cell>
          <cell r="R1533" t="str">
            <v>CFR</v>
          </cell>
          <cell r="S1533">
            <v>350.5</v>
          </cell>
          <cell r="Y1533">
            <v>44410</v>
          </cell>
          <cell r="AF1533" t="str">
            <v>PISCO</v>
          </cell>
        </row>
        <row r="1534">
          <cell r="C1534" t="str">
            <v>MF-118E/21</v>
          </cell>
          <cell r="E1534" t="str">
            <v>NITRATO DE AMONIO</v>
          </cell>
          <cell r="F1534" t="str">
            <v>URALCHEM (MITSUI)</v>
          </cell>
          <cell r="P1534">
            <v>1000</v>
          </cell>
          <cell r="R1534" t="str">
            <v>CFR</v>
          </cell>
          <cell r="S1534">
            <v>350.5</v>
          </cell>
          <cell r="Y1534">
            <v>44413</v>
          </cell>
          <cell r="AF1534" t="str">
            <v>MATARANI</v>
          </cell>
        </row>
        <row r="1535">
          <cell r="C1535" t="str">
            <v>MF-119A/21</v>
          </cell>
          <cell r="E1535" t="str">
            <v>CLORURO DE POTASIO ROJO GRANULAR</v>
          </cell>
          <cell r="F1535" t="str">
            <v>URALKALI</v>
          </cell>
          <cell r="P1535">
            <v>500</v>
          </cell>
          <cell r="R1535" t="str">
            <v>CFR</v>
          </cell>
          <cell r="S1535">
            <v>432</v>
          </cell>
          <cell r="Y1535">
            <v>44399</v>
          </cell>
          <cell r="AF1535" t="str">
            <v>SALAVERRY</v>
          </cell>
        </row>
        <row r="1536">
          <cell r="C1536" t="str">
            <v>MF-119B/21</v>
          </cell>
          <cell r="E1536" t="str">
            <v>CLORURO DE POTASIO ROJO GRANULAR</v>
          </cell>
          <cell r="F1536" t="str">
            <v>URALKALI</v>
          </cell>
          <cell r="P1536">
            <v>1650</v>
          </cell>
          <cell r="R1536" t="str">
            <v>CFR</v>
          </cell>
          <cell r="S1536">
            <v>432</v>
          </cell>
          <cell r="Y1536">
            <v>44407</v>
          </cell>
          <cell r="AF1536" t="str">
            <v>CALLAO</v>
          </cell>
        </row>
        <row r="1537">
          <cell r="C1537" t="str">
            <v>MF-119C/21</v>
          </cell>
          <cell r="E1537" t="str">
            <v>CLORURO DE POTASIO ROJO GRANULAR</v>
          </cell>
          <cell r="F1537" t="str">
            <v>URALKALI</v>
          </cell>
          <cell r="P1537">
            <v>550</v>
          </cell>
          <cell r="R1537" t="str">
            <v>CFR</v>
          </cell>
          <cell r="S1537">
            <v>432</v>
          </cell>
          <cell r="Y1537">
            <v>44413</v>
          </cell>
          <cell r="AF1537" t="str">
            <v>MATARANI</v>
          </cell>
        </row>
        <row r="1538">
          <cell r="C1538" t="str">
            <v>MF-120.1/21</v>
          </cell>
          <cell r="E1538" t="str">
            <v>UREA PERLADA</v>
          </cell>
          <cell r="F1538" t="str">
            <v>NITRON GROUP LLC</v>
          </cell>
          <cell r="P1538">
            <v>880</v>
          </cell>
          <cell r="R1538" t="str">
            <v>CFR</v>
          </cell>
          <cell r="S1538">
            <v>465</v>
          </cell>
          <cell r="Y1538">
            <v>44379</v>
          </cell>
          <cell r="AF1538" t="str">
            <v>PAITA</v>
          </cell>
        </row>
        <row r="1539">
          <cell r="C1539" t="str">
            <v>MF-120.2/21</v>
          </cell>
          <cell r="E1539" t="str">
            <v>UREA PERLADA</v>
          </cell>
          <cell r="F1539" t="str">
            <v>NITRON GROUP LLC</v>
          </cell>
          <cell r="P1539">
            <v>1000</v>
          </cell>
          <cell r="R1539" t="str">
            <v>CFR</v>
          </cell>
          <cell r="S1539">
            <v>465</v>
          </cell>
          <cell r="Y1539">
            <v>44379</v>
          </cell>
          <cell r="AF1539" t="str">
            <v>PAITA</v>
          </cell>
        </row>
        <row r="1540">
          <cell r="C1540" t="str">
            <v>MF-121/21</v>
          </cell>
          <cell r="E1540" t="str">
            <v>FOSFATO DIAMÓNICO GRANULAR</v>
          </cell>
          <cell r="F1540" t="str">
            <v>NITRON GROUP LLC</v>
          </cell>
          <cell r="P1540">
            <v>820.75</v>
          </cell>
          <cell r="R1540" t="str">
            <v>CFR</v>
          </cell>
          <cell r="S1540">
            <v>640</v>
          </cell>
          <cell r="Y1540">
            <v>44379</v>
          </cell>
          <cell r="AF1540" t="str">
            <v>PAITA</v>
          </cell>
        </row>
        <row r="1541">
          <cell r="C1541" t="str">
            <v>MF-122A/21</v>
          </cell>
          <cell r="E1541" t="str">
            <v>POLISULFATO GRANULADO</v>
          </cell>
          <cell r="F1541" t="str">
            <v>ICL EUROPE COOPERATIEF U.A.</v>
          </cell>
          <cell r="P1541">
            <v>179.87</v>
          </cell>
          <cell r="R1541" t="str">
            <v>CFR</v>
          </cell>
          <cell r="S1541">
            <v>237</v>
          </cell>
          <cell r="Y1541">
            <v>44463</v>
          </cell>
          <cell r="AF1541" t="str">
            <v>PAITA</v>
          </cell>
        </row>
        <row r="1542">
          <cell r="C1542" t="str">
            <v>MF-122B/21</v>
          </cell>
          <cell r="E1542" t="str">
            <v>POLISULFATO GRANULADO</v>
          </cell>
          <cell r="F1542" t="str">
            <v>ICL EUROPE COOPERATIEF U.A.</v>
          </cell>
          <cell r="P1542">
            <v>219.94</v>
          </cell>
          <cell r="R1542" t="str">
            <v>CFR</v>
          </cell>
          <cell r="S1542">
            <v>228</v>
          </cell>
          <cell r="Y1542">
            <v>44449</v>
          </cell>
          <cell r="AF1542" t="str">
            <v>CALLAO</v>
          </cell>
        </row>
        <row r="1543">
          <cell r="C1543" t="str">
            <v>MF-123/21</v>
          </cell>
          <cell r="E1543" t="str">
            <v xml:space="preserve">YARAVITA ZINTRAC </v>
          </cell>
          <cell r="F1543" t="str">
            <v>YARA PERÚ SRL</v>
          </cell>
          <cell r="P1543">
            <v>17.34</v>
          </cell>
          <cell r="R1543" t="str">
            <v>CFR</v>
          </cell>
          <cell r="S1543">
            <v>4901.9607839999999</v>
          </cell>
          <cell r="Y1543">
            <v>44504</v>
          </cell>
          <cell r="AF1543" t="str">
            <v>CALLAO</v>
          </cell>
        </row>
        <row r="1544">
          <cell r="C1544" t="str">
            <v>MF-124.1/21</v>
          </cell>
          <cell r="E1544" t="str">
            <v>YARATERA CALCINIT X 25KG</v>
          </cell>
          <cell r="F1544" t="str">
            <v>YARA PERÚ SRL</v>
          </cell>
          <cell r="P1544">
            <v>486</v>
          </cell>
          <cell r="R1544" t="str">
            <v>CFR</v>
          </cell>
          <cell r="S1544">
            <v>249</v>
          </cell>
          <cell r="Y1544">
            <v>44377</v>
          </cell>
          <cell r="AF1544" t="str">
            <v>PAITA</v>
          </cell>
        </row>
        <row r="1545">
          <cell r="C1545" t="str">
            <v>MF-124.2/21</v>
          </cell>
          <cell r="E1545" t="str">
            <v>YARATERA CALCINIT X 25KG</v>
          </cell>
          <cell r="F1545" t="str">
            <v>YARA PERÚ SRL</v>
          </cell>
          <cell r="P1545">
            <v>378</v>
          </cell>
          <cell r="R1545" t="str">
            <v>CFR</v>
          </cell>
          <cell r="S1545">
            <v>249</v>
          </cell>
          <cell r="Y1545">
            <v>44384</v>
          </cell>
          <cell r="AF1545" t="str">
            <v>PAITA</v>
          </cell>
        </row>
        <row r="1546">
          <cell r="C1546" t="str">
            <v>MF-125/21</v>
          </cell>
          <cell r="E1546" t="str">
            <v>YARATERA CALCINIT X 25KG</v>
          </cell>
          <cell r="F1546" t="str">
            <v>YARA PERÚ SRL</v>
          </cell>
          <cell r="P1546">
            <v>297</v>
          </cell>
          <cell r="R1546" t="str">
            <v>CFR</v>
          </cell>
          <cell r="S1546">
            <v>249</v>
          </cell>
          <cell r="Y1546">
            <v>44384</v>
          </cell>
          <cell r="AF1546" t="str">
            <v>PAITA</v>
          </cell>
        </row>
        <row r="1547">
          <cell r="C1547" t="str">
            <v>MF-126.1/21</v>
          </cell>
          <cell r="E1547" t="str">
            <v>YARATERA CALCINIT X 25KG</v>
          </cell>
          <cell r="F1547" t="str">
            <v>YARA PERÚ SRL</v>
          </cell>
          <cell r="P1547">
            <v>405</v>
          </cell>
          <cell r="R1547" t="str">
            <v>CFR</v>
          </cell>
          <cell r="S1547">
            <v>269</v>
          </cell>
          <cell r="Y1547">
            <v>44405</v>
          </cell>
          <cell r="AF1547" t="str">
            <v>PAITA</v>
          </cell>
        </row>
        <row r="1548">
          <cell r="C1548" t="str">
            <v>MF.126.2/21</v>
          </cell>
          <cell r="E1548" t="str">
            <v>YARATERA CALCINIT X 25KG</v>
          </cell>
          <cell r="F1548" t="str">
            <v>YARA PERÚ SRL</v>
          </cell>
          <cell r="P1548">
            <v>162</v>
          </cell>
          <cell r="R1548" t="str">
            <v>CFR</v>
          </cell>
          <cell r="S1548">
            <v>269</v>
          </cell>
          <cell r="Y1548">
            <v>44412</v>
          </cell>
          <cell r="AF1548" t="str">
            <v>PAITA</v>
          </cell>
        </row>
        <row r="1549">
          <cell r="C1549" t="str">
            <v>MF-127/21</v>
          </cell>
          <cell r="E1549" t="str">
            <v>YARATERA CALCINIT X 25KG</v>
          </cell>
          <cell r="F1549" t="str">
            <v>YARA PERÚ SRL</v>
          </cell>
          <cell r="P1549">
            <v>540</v>
          </cell>
          <cell r="R1549" t="str">
            <v>CFR</v>
          </cell>
          <cell r="S1549">
            <v>269</v>
          </cell>
          <cell r="Y1549">
            <v>44412</v>
          </cell>
          <cell r="AF1549" t="str">
            <v>PAITA</v>
          </cell>
        </row>
        <row r="1550">
          <cell r="C1550" t="str">
            <v>MF-128/21</v>
          </cell>
          <cell r="E1550" t="str">
            <v>YARALIVA NITRABOR A GRANEL</v>
          </cell>
          <cell r="F1550" t="str">
            <v>YARA PERÚ SRL</v>
          </cell>
          <cell r="P1550">
            <v>107.74</v>
          </cell>
          <cell r="R1550" t="str">
            <v>CFR</v>
          </cell>
          <cell r="S1550">
            <v>319.13</v>
          </cell>
          <cell r="Y1550">
            <v>44474</v>
          </cell>
          <cell r="AF1550" t="str">
            <v>PAITA</v>
          </cell>
        </row>
        <row r="1551">
          <cell r="C1551" t="str">
            <v>MF-129/21</v>
          </cell>
          <cell r="E1551" t="str">
            <v>YARATERA CALCINIT X 25KG</v>
          </cell>
          <cell r="F1551" t="str">
            <v>YARA PERÚ SRL</v>
          </cell>
          <cell r="P1551">
            <v>648</v>
          </cell>
          <cell r="R1551" t="str">
            <v>CFR</v>
          </cell>
          <cell r="S1551">
            <v>269</v>
          </cell>
          <cell r="Y1551">
            <v>44400</v>
          </cell>
          <cell r="AF1551" t="str">
            <v>CALLAO</v>
          </cell>
        </row>
        <row r="1552">
          <cell r="C1552" t="str">
            <v>MF-130.1/21</v>
          </cell>
          <cell r="E1552" t="str">
            <v>YARATERA CALCINIT X 25KG</v>
          </cell>
          <cell r="F1552" t="str">
            <v>YARA PERÚ SRL</v>
          </cell>
          <cell r="P1552">
            <v>135</v>
          </cell>
          <cell r="R1552" t="str">
            <v>CFR</v>
          </cell>
          <cell r="S1552">
            <v>269</v>
          </cell>
          <cell r="Y1552">
            <v>44420</v>
          </cell>
          <cell r="AF1552" t="str">
            <v>CALLAO</v>
          </cell>
        </row>
        <row r="1553">
          <cell r="C1553" t="str">
            <v>MF-130.2/21</v>
          </cell>
          <cell r="E1553" t="str">
            <v>YARATERA CALCINIT X 25KG</v>
          </cell>
          <cell r="F1553" t="str">
            <v>YARA PERÚ SRL</v>
          </cell>
          <cell r="P1553">
            <v>297</v>
          </cell>
          <cell r="R1553" t="str">
            <v>CFR</v>
          </cell>
          <cell r="S1553">
            <v>269</v>
          </cell>
          <cell r="Y1553">
            <v>44428</v>
          </cell>
          <cell r="AF1553" t="str">
            <v>CALLAO</v>
          </cell>
        </row>
        <row r="1554">
          <cell r="C1554" t="str">
            <v>MF-130.3/21</v>
          </cell>
          <cell r="E1554" t="str">
            <v>YARATERA CALCINIT X 25KG</v>
          </cell>
          <cell r="F1554" t="str">
            <v>YARA PERÚ SRL</v>
          </cell>
          <cell r="P1554">
            <v>129.6</v>
          </cell>
          <cell r="R1554" t="str">
            <v>CFR</v>
          </cell>
          <cell r="S1554">
            <v>269</v>
          </cell>
          <cell r="Y1554">
            <v>44427</v>
          </cell>
          <cell r="AF1554" t="str">
            <v>CALLAO</v>
          </cell>
        </row>
        <row r="1555">
          <cell r="C1555" t="str">
            <v>MF-131/21</v>
          </cell>
          <cell r="E1555" t="str">
            <v>YARALIVA NITRABOR A GRANEL</v>
          </cell>
          <cell r="F1555" t="str">
            <v>YARA PERÚ SRL</v>
          </cell>
          <cell r="P1555">
            <v>215.52</v>
          </cell>
          <cell r="R1555" t="str">
            <v>CFR</v>
          </cell>
          <cell r="S1555">
            <v>308.29000000000002</v>
          </cell>
          <cell r="Y1555">
            <v>44479</v>
          </cell>
          <cell r="AF1555" t="str">
            <v>CALLAO</v>
          </cell>
        </row>
        <row r="1556">
          <cell r="C1556" t="str">
            <v>MF-132/21</v>
          </cell>
          <cell r="E1556" t="str">
            <v>YARALIVA NITRABOR A GRANEL</v>
          </cell>
          <cell r="F1556" t="str">
            <v>YARA PERÚ SRL</v>
          </cell>
          <cell r="P1556">
            <v>0</v>
          </cell>
          <cell r="R1556">
            <v>0</v>
          </cell>
          <cell r="S1556">
            <v>0</v>
          </cell>
          <cell r="Y1556">
            <v>0</v>
          </cell>
          <cell r="AF1556">
            <v>0</v>
          </cell>
        </row>
        <row r="1557">
          <cell r="C1557" t="str">
            <v>MF-133/21</v>
          </cell>
          <cell r="E1557" t="str">
            <v>SULFATO FERROSO HEPTAHIDRATADO</v>
          </cell>
          <cell r="F1557" t="str">
            <v>NORBRIGHT</v>
          </cell>
          <cell r="P1557">
            <v>0</v>
          </cell>
          <cell r="R1557">
            <v>0</v>
          </cell>
          <cell r="S1557">
            <v>0</v>
          </cell>
          <cell r="Y1557">
            <v>0</v>
          </cell>
          <cell r="AF1557">
            <v>0</v>
          </cell>
        </row>
        <row r="1558">
          <cell r="C1558" t="str">
            <v>MF-134/21</v>
          </cell>
          <cell r="E1558" t="str">
            <v>NITRATO DE MAGNESIO HEXAHIDRATADO</v>
          </cell>
          <cell r="F1558" t="str">
            <v>CHENGDU ROCCA CO.,LTD</v>
          </cell>
          <cell r="P1558">
            <v>300</v>
          </cell>
          <cell r="R1558" t="str">
            <v>CFR</v>
          </cell>
          <cell r="S1558">
            <v>382</v>
          </cell>
          <cell r="Y1558">
            <v>44528</v>
          </cell>
          <cell r="AF1558" t="str">
            <v>CALLAO</v>
          </cell>
        </row>
        <row r="1559">
          <cell r="C1559" t="str">
            <v>MF-135/21</v>
          </cell>
          <cell r="E1559" t="str">
            <v>YARATERA CALCINIT X 25KG</v>
          </cell>
          <cell r="F1559" t="str">
            <v>YARA PERÚ SRL</v>
          </cell>
          <cell r="P1559">
            <v>81</v>
          </cell>
          <cell r="R1559" t="str">
            <v>CFR</v>
          </cell>
          <cell r="S1559">
            <v>249</v>
          </cell>
          <cell r="Y1559">
            <v>44411</v>
          </cell>
          <cell r="AF1559" t="str">
            <v>MATARANI</v>
          </cell>
        </row>
        <row r="1560">
          <cell r="C1560" t="str">
            <v>MF-136A1/21</v>
          </cell>
          <cell r="E1560" t="str">
            <v>ÁCIDO FOSFÓRICO</v>
          </cell>
          <cell r="F1560" t="str">
            <v>NORBRIGHT</v>
          </cell>
          <cell r="P1560">
            <v>133</v>
          </cell>
          <cell r="R1560" t="str">
            <v>CIF</v>
          </cell>
          <cell r="S1560">
            <v>1516</v>
          </cell>
          <cell r="Y1560">
            <v>44484</v>
          </cell>
          <cell r="AF1560" t="str">
            <v>PAITA</v>
          </cell>
        </row>
        <row r="1561">
          <cell r="C1561" t="str">
            <v>MF-136A2/21</v>
          </cell>
          <cell r="E1561" t="str">
            <v>ÁCIDO FOSFÓRICO</v>
          </cell>
          <cell r="F1561" t="str">
            <v>NORBRIGHT</v>
          </cell>
          <cell r="P1561">
            <v>159.6</v>
          </cell>
          <cell r="R1561" t="str">
            <v>CIF</v>
          </cell>
          <cell r="S1561">
            <v>1516</v>
          </cell>
          <cell r="Y1561">
            <v>44491</v>
          </cell>
          <cell r="AF1561" t="str">
            <v>PAITA</v>
          </cell>
        </row>
        <row r="1562">
          <cell r="C1562" t="str">
            <v>MF-136A3/21</v>
          </cell>
          <cell r="E1562" t="str">
            <v>ÁCIDO FOSFÓRICO</v>
          </cell>
          <cell r="F1562" t="str">
            <v>NORBRIGHT</v>
          </cell>
          <cell r="P1562">
            <v>0</v>
          </cell>
          <cell r="R1562">
            <v>0</v>
          </cell>
          <cell r="S1562">
            <v>0</v>
          </cell>
          <cell r="Y1562">
            <v>0</v>
          </cell>
          <cell r="AF1562">
            <v>0</v>
          </cell>
        </row>
        <row r="1563">
          <cell r="C1563" t="str">
            <v>MF-136A4/21</v>
          </cell>
          <cell r="E1563" t="str">
            <v>ÁCIDO FOSFÓRICO</v>
          </cell>
          <cell r="F1563" t="str">
            <v>NORBRIGHT</v>
          </cell>
          <cell r="P1563">
            <v>0</v>
          </cell>
          <cell r="R1563">
            <v>0</v>
          </cell>
          <cell r="S1563">
            <v>0</v>
          </cell>
          <cell r="Y1563">
            <v>0</v>
          </cell>
          <cell r="AF1563">
            <v>0</v>
          </cell>
        </row>
        <row r="1564">
          <cell r="C1564" t="str">
            <v>MF-136A5/21</v>
          </cell>
          <cell r="E1564" t="str">
            <v>ÁCIDO FOSFÓRICO</v>
          </cell>
          <cell r="F1564" t="str">
            <v>NORBRIGHT</v>
          </cell>
          <cell r="P1564">
            <v>0</v>
          </cell>
          <cell r="R1564">
            <v>0</v>
          </cell>
          <cell r="S1564">
            <v>0</v>
          </cell>
          <cell r="Y1564">
            <v>0</v>
          </cell>
          <cell r="AF1564">
            <v>0</v>
          </cell>
        </row>
        <row r="1565">
          <cell r="C1565" t="str">
            <v>MF-136B1.1/21</v>
          </cell>
          <cell r="E1565" t="str">
            <v>ÁCIDO FOSFÓRICO</v>
          </cell>
          <cell r="F1565" t="str">
            <v>NORBRIGHT</v>
          </cell>
          <cell r="P1565">
            <v>133</v>
          </cell>
          <cell r="R1565" t="str">
            <v>CIF</v>
          </cell>
          <cell r="S1565">
            <v>1497</v>
          </cell>
          <cell r="Y1565">
            <v>44461</v>
          </cell>
          <cell r="AF1565" t="str">
            <v>CALLAO</v>
          </cell>
        </row>
        <row r="1566">
          <cell r="C1566" t="str">
            <v>MF-136B1.2/21</v>
          </cell>
          <cell r="E1566" t="str">
            <v>ÁCIDO FOSFÓRICO</v>
          </cell>
          <cell r="F1566" t="str">
            <v>NORBRIGHT</v>
          </cell>
          <cell r="P1566">
            <v>0</v>
          </cell>
          <cell r="R1566">
            <v>0</v>
          </cell>
          <cell r="S1566">
            <v>0</v>
          </cell>
          <cell r="Y1566">
            <v>0</v>
          </cell>
          <cell r="AF1566">
            <v>0</v>
          </cell>
        </row>
        <row r="1567">
          <cell r="C1567" t="str">
            <v>MF-136B2.1/21</v>
          </cell>
          <cell r="E1567" t="str">
            <v>ÁCIDO FOSFÓRICO</v>
          </cell>
          <cell r="F1567" t="str">
            <v>NORBRIGHT</v>
          </cell>
          <cell r="P1567">
            <v>133</v>
          </cell>
          <cell r="R1567" t="str">
            <v>CIF</v>
          </cell>
          <cell r="S1567">
            <v>1497</v>
          </cell>
          <cell r="Y1567">
            <v>44477</v>
          </cell>
          <cell r="AF1567" t="str">
            <v>CALLAO</v>
          </cell>
        </row>
        <row r="1568">
          <cell r="C1568" t="str">
            <v>MF-136B2.2/21</v>
          </cell>
          <cell r="E1568" t="str">
            <v>ÁCIDO FOSFÓRICO</v>
          </cell>
          <cell r="F1568" t="str">
            <v>NORBRIGHT</v>
          </cell>
          <cell r="P1568">
            <v>0</v>
          </cell>
          <cell r="R1568">
            <v>0</v>
          </cell>
          <cell r="S1568">
            <v>0</v>
          </cell>
          <cell r="Y1568">
            <v>0</v>
          </cell>
          <cell r="AF1568">
            <v>0</v>
          </cell>
        </row>
        <row r="1569">
          <cell r="C1569" t="str">
            <v>MF-137/21</v>
          </cell>
          <cell r="E1569" t="str">
            <v>NITRATO DE POTASIO CRISTALIZADO</v>
          </cell>
          <cell r="F1569" t="str">
            <v>ACF MINERA</v>
          </cell>
          <cell r="P1569">
            <v>500</v>
          </cell>
          <cell r="R1569" t="str">
            <v>CIF</v>
          </cell>
          <cell r="S1569">
            <v>750</v>
          </cell>
          <cell r="Y1569">
            <v>44545</v>
          </cell>
          <cell r="AF1569" t="str">
            <v>PAITA</v>
          </cell>
        </row>
        <row r="1570">
          <cell r="C1570" t="str">
            <v>MUESTRA 1/21</v>
          </cell>
          <cell r="E1570" t="str">
            <v>LIMUS X1LT</v>
          </cell>
          <cell r="F1570" t="str">
            <v>WEGROW AG</v>
          </cell>
          <cell r="P1570">
            <v>3</v>
          </cell>
          <cell r="R1570" t="str">
            <v>CPT</v>
          </cell>
          <cell r="S1570">
            <v>0</v>
          </cell>
          <cell r="Y1570" t="str">
            <v>-</v>
          </cell>
          <cell r="AF1570" t="str">
            <v>SALAVERRY</v>
          </cell>
        </row>
        <row r="1571">
          <cell r="C1571" t="str">
            <v>MF-139A/21</v>
          </cell>
          <cell r="E1571" t="str">
            <v>SULFATO DE POTASIO SOLUBLE</v>
          </cell>
          <cell r="F1571" t="str">
            <v>WEGROW AG</v>
          </cell>
          <cell r="P1571">
            <v>3900</v>
          </cell>
          <cell r="R1571" t="str">
            <v>CFR</v>
          </cell>
          <cell r="S1571">
            <v>789</v>
          </cell>
          <cell r="Y1571">
            <v>44575</v>
          </cell>
          <cell r="AF1571" t="str">
            <v>CALLAO</v>
          </cell>
        </row>
        <row r="1572">
          <cell r="C1572" t="str">
            <v>MF-139B/21</v>
          </cell>
          <cell r="E1572" t="str">
            <v>SULFATO DE POTASIO SOLUBLE</v>
          </cell>
          <cell r="F1572" t="str">
            <v>WEGROW AG</v>
          </cell>
          <cell r="P1572">
            <v>1100</v>
          </cell>
          <cell r="R1572" t="str">
            <v>CFR</v>
          </cell>
          <cell r="S1572">
            <v>789</v>
          </cell>
          <cell r="Y1572">
            <v>44579</v>
          </cell>
          <cell r="AF1572" t="str">
            <v>SALAVERRY</v>
          </cell>
        </row>
        <row r="1573">
          <cell r="C1573" t="str">
            <v>MF-139C/21</v>
          </cell>
          <cell r="E1573" t="str">
            <v>SULFATO DE POTASIO SOLUBLE</v>
          </cell>
          <cell r="F1573" t="str">
            <v>WEGROW AG</v>
          </cell>
          <cell r="P1573">
            <v>0</v>
          </cell>
          <cell r="R1573">
            <v>0</v>
          </cell>
          <cell r="S1573">
            <v>0</v>
          </cell>
          <cell r="Y1573">
            <v>0</v>
          </cell>
          <cell r="AF1573">
            <v>0</v>
          </cell>
        </row>
        <row r="1574">
          <cell r="C1574" t="str">
            <v>MF-140/21</v>
          </cell>
          <cell r="E1574" t="str">
            <v>NITRATO DE POTASIO CRISTALIZADO</v>
          </cell>
          <cell r="F1574" t="str">
            <v>PHOSAGRO (MITSUI)</v>
          </cell>
          <cell r="P1574">
            <v>528</v>
          </cell>
          <cell r="R1574" t="str">
            <v>CPT</v>
          </cell>
          <cell r="S1574">
            <v>756</v>
          </cell>
          <cell r="Y1574">
            <v>44530</v>
          </cell>
          <cell r="AF1574" t="str">
            <v>PAITA</v>
          </cell>
        </row>
        <row r="1575">
          <cell r="C1575" t="str">
            <v>MF-141A/21</v>
          </cell>
          <cell r="E1575" t="str">
            <v>UREA PERLADA</v>
          </cell>
          <cell r="F1575" t="str">
            <v>PHOSAGRO (MITSUI)</v>
          </cell>
          <cell r="P1575">
            <v>770</v>
          </cell>
          <cell r="R1575" t="str">
            <v>CFR</v>
          </cell>
          <cell r="S1575">
            <v>539.79999999999995</v>
          </cell>
          <cell r="Y1575">
            <v>44451</v>
          </cell>
          <cell r="AF1575" t="str">
            <v>PAITA</v>
          </cell>
        </row>
        <row r="1576">
          <cell r="C1576" t="str">
            <v>MF-141B/21</v>
          </cell>
          <cell r="E1576" t="str">
            <v>UREA PERLADA</v>
          </cell>
          <cell r="F1576" t="str">
            <v>PHOSAGRO (MITSUI)</v>
          </cell>
          <cell r="P1576">
            <v>1960</v>
          </cell>
          <cell r="R1576" t="str">
            <v>CFR</v>
          </cell>
          <cell r="S1576">
            <v>539.79999999999995</v>
          </cell>
          <cell r="Y1576">
            <v>44466</v>
          </cell>
          <cell r="AF1576" t="str">
            <v>CALLAO</v>
          </cell>
        </row>
        <row r="1577">
          <cell r="C1577" t="str">
            <v>MF-141C/21</v>
          </cell>
          <cell r="E1577" t="str">
            <v>UREA PERLADA</v>
          </cell>
          <cell r="F1577" t="str">
            <v>STAR GRACE MINING CO.,LTD</v>
          </cell>
          <cell r="P1577">
            <v>1170</v>
          </cell>
          <cell r="R1577" t="str">
            <v>CFR</v>
          </cell>
          <cell r="S1577">
            <v>539.79999999999995</v>
          </cell>
          <cell r="Y1577">
            <v>44472</v>
          </cell>
          <cell r="AF1577" t="str">
            <v>MATARANI</v>
          </cell>
        </row>
        <row r="1578">
          <cell r="C1578" t="str">
            <v>MF-142.1/21</v>
          </cell>
          <cell r="E1578" t="str">
            <v xml:space="preserve">SULFATO DE MAGNESIO HEPTAHIDRATADO </v>
          </cell>
          <cell r="F1578" t="str">
            <v>STAR GRACE MINING CO.,LTD</v>
          </cell>
          <cell r="P1578">
            <v>1200</v>
          </cell>
          <cell r="R1578" t="str">
            <v>CFR</v>
          </cell>
          <cell r="S1578">
            <v>195</v>
          </cell>
          <cell r="Y1578">
            <v>44528</v>
          </cell>
          <cell r="AF1578" t="str">
            <v>CALLAO</v>
          </cell>
        </row>
        <row r="1579">
          <cell r="C1579" t="str">
            <v>MF-142.2/21</v>
          </cell>
          <cell r="E1579" t="str">
            <v xml:space="preserve">SULFATO DE MAGNESIO HEPTAHIDRATADO </v>
          </cell>
          <cell r="F1579" t="str">
            <v>K+S Minerals and Agriculture GmbH</v>
          </cell>
          <cell r="P1579">
            <v>210</v>
          </cell>
          <cell r="R1579" t="str">
            <v>CFR</v>
          </cell>
          <cell r="S1579">
            <v>249</v>
          </cell>
          <cell r="Y1579">
            <v>44528</v>
          </cell>
          <cell r="AF1579" t="str">
            <v>CALLAO</v>
          </cell>
        </row>
        <row r="1580">
          <cell r="C1580" t="str">
            <v>MF-143/21</v>
          </cell>
          <cell r="E1580" t="str">
            <v>SULFATO DE POTASIO GRANULAR</v>
          </cell>
          <cell r="F1580" t="str">
            <v>WEGROW AG</v>
          </cell>
          <cell r="P1580">
            <v>392.08199999999999</v>
          </cell>
          <cell r="R1580" t="str">
            <v>CPT</v>
          </cell>
          <cell r="S1580">
            <v>700</v>
          </cell>
          <cell r="Y1580">
            <v>44504</v>
          </cell>
          <cell r="AF1580" t="str">
            <v>CALLAO</v>
          </cell>
        </row>
        <row r="1581">
          <cell r="C1581" t="str">
            <v>MF-144/21</v>
          </cell>
          <cell r="E1581" t="str">
            <v>SULFATO DE ZINC HEPTAHIDRATADO</v>
          </cell>
          <cell r="F1581" t="str">
            <v>DREYMOOR</v>
          </cell>
          <cell r="P1581">
            <v>350</v>
          </cell>
          <cell r="R1581" t="str">
            <v>CFR</v>
          </cell>
          <cell r="S1581">
            <v>765</v>
          </cell>
          <cell r="Y1581">
            <v>44514</v>
          </cell>
          <cell r="AF1581" t="str">
            <v>CALLAO</v>
          </cell>
        </row>
        <row r="1582">
          <cell r="C1582" t="str">
            <v>MF-145/21</v>
          </cell>
          <cell r="E1582" t="str">
            <v>SULFATO FERROSO HEPTAHIDRATADO</v>
          </cell>
          <cell r="F1582" t="str">
            <v>DREYMOOR</v>
          </cell>
          <cell r="P1582">
            <v>65</v>
          </cell>
          <cell r="R1582" t="str">
            <v>CIF</v>
          </cell>
          <cell r="S1582">
            <v>209</v>
          </cell>
          <cell r="Y1582">
            <v>44525</v>
          </cell>
          <cell r="AF1582" t="str">
            <v>CALLAO</v>
          </cell>
        </row>
        <row r="1583">
          <cell r="C1583" t="str">
            <v>MF-146/21</v>
          </cell>
          <cell r="E1583" t="str">
            <v>SULFATO FERROSO HEPTAHIDRATADO</v>
          </cell>
          <cell r="F1583" t="str">
            <v>WEGROW AG</v>
          </cell>
          <cell r="P1583">
            <v>65</v>
          </cell>
          <cell r="R1583" t="str">
            <v>CIF</v>
          </cell>
          <cell r="S1583">
            <v>239</v>
          </cell>
          <cell r="Y1583">
            <v>44468</v>
          </cell>
          <cell r="AF1583" t="str">
            <v>PAITA</v>
          </cell>
        </row>
        <row r="1584">
          <cell r="C1584" t="str">
            <v>MF-147A/21</v>
          </cell>
          <cell r="E1584" t="str">
            <v>NITRATO DE POTASIO CRISTALIZADO</v>
          </cell>
          <cell r="F1584" t="str">
            <v>WEGROW AG</v>
          </cell>
          <cell r="P1584">
            <v>360</v>
          </cell>
          <cell r="R1584" t="str">
            <v>CPT</v>
          </cell>
          <cell r="S1584">
            <v>766</v>
          </cell>
          <cell r="Y1584">
            <v>44511</v>
          </cell>
          <cell r="AF1584" t="str">
            <v>CALLAO</v>
          </cell>
        </row>
        <row r="1585">
          <cell r="C1585" t="str">
            <v>MF-147B/21</v>
          </cell>
          <cell r="E1585" t="str">
            <v>NITRATO DE POTASIO CRISTALIZADO</v>
          </cell>
          <cell r="F1585" t="str">
            <v>WEGROW AG</v>
          </cell>
          <cell r="P1585">
            <v>360</v>
          </cell>
          <cell r="R1585" t="str">
            <v>CPT</v>
          </cell>
          <cell r="S1585">
            <v>771</v>
          </cell>
          <cell r="Y1585">
            <v>44509</v>
          </cell>
          <cell r="AF1585" t="str">
            <v>PAITA</v>
          </cell>
        </row>
        <row r="1586">
          <cell r="C1586" t="str">
            <v>MF-148A/21</v>
          </cell>
          <cell r="E1586" t="str">
            <v>NITRATO DE POTASIO CRISTALIZADO</v>
          </cell>
          <cell r="F1586" t="str">
            <v>WEGROW AG</v>
          </cell>
          <cell r="P1586">
            <v>384</v>
          </cell>
          <cell r="R1586" t="str">
            <v>CPT</v>
          </cell>
          <cell r="S1586">
            <v>766</v>
          </cell>
          <cell r="Y1586">
            <v>44520</v>
          </cell>
          <cell r="AF1586" t="str">
            <v>CALLAO</v>
          </cell>
        </row>
        <row r="1587">
          <cell r="C1587" t="str">
            <v>MF-148B/21</v>
          </cell>
          <cell r="E1587" t="str">
            <v>NITRATO DE POTASIO CRISTALIZADO</v>
          </cell>
          <cell r="F1587" t="str">
            <v>WEGROW AG</v>
          </cell>
          <cell r="P1587">
            <v>408</v>
          </cell>
          <cell r="R1587" t="str">
            <v>CPT</v>
          </cell>
          <cell r="S1587">
            <v>771</v>
          </cell>
          <cell r="Y1587">
            <v>44516</v>
          </cell>
          <cell r="AF1587" t="str">
            <v>PAITA</v>
          </cell>
        </row>
        <row r="1588">
          <cell r="C1588" t="str">
            <v>MF-149/21</v>
          </cell>
          <cell r="E1588" t="str">
            <v>ÁCIDO FOSFÓRICO</v>
          </cell>
          <cell r="F1588" t="str">
            <v>WEGROW AG</v>
          </cell>
          <cell r="P1588">
            <v>425.6</v>
          </cell>
          <cell r="R1588" t="str">
            <v>CPT</v>
          </cell>
          <cell r="S1588">
            <v>1680</v>
          </cell>
          <cell r="Y1588">
            <v>44495</v>
          </cell>
          <cell r="AF1588" t="str">
            <v>CALLAO</v>
          </cell>
        </row>
        <row r="1589">
          <cell r="C1589" t="str">
            <v>MF-150.1/21</v>
          </cell>
          <cell r="E1589" t="str">
            <v>ÁCIDO FOSFÓRICO</v>
          </cell>
          <cell r="F1589" t="str">
            <v>WEGROW AG</v>
          </cell>
          <cell r="P1589">
            <v>133</v>
          </cell>
          <cell r="R1589" t="str">
            <v>CPT</v>
          </cell>
          <cell r="S1589">
            <v>1691</v>
          </cell>
          <cell r="Y1589">
            <v>44498</v>
          </cell>
          <cell r="AF1589" t="str">
            <v>PAITA</v>
          </cell>
        </row>
        <row r="1590">
          <cell r="C1590" t="str">
            <v>MF-150.2/21</v>
          </cell>
          <cell r="E1590" t="str">
            <v>ÁCIDO FOSFÓRICO</v>
          </cell>
          <cell r="F1590" t="str">
            <v>WEGROW AG</v>
          </cell>
          <cell r="P1590">
            <v>79.8</v>
          </cell>
          <cell r="R1590" t="str">
            <v>CPT</v>
          </cell>
          <cell r="S1590">
            <v>1691</v>
          </cell>
          <cell r="Y1590">
            <v>44498</v>
          </cell>
          <cell r="AF1590" t="str">
            <v>PAITA</v>
          </cell>
        </row>
        <row r="1591">
          <cell r="C1591" t="str">
            <v>MF-150.3/21</v>
          </cell>
          <cell r="E1591" t="str">
            <v>ÁCIDO FOSFÓRICO</v>
          </cell>
          <cell r="F1591" t="str">
            <v>WEGROW AG</v>
          </cell>
          <cell r="P1591">
            <v>79.8</v>
          </cell>
          <cell r="R1591" t="str">
            <v>CPT</v>
          </cell>
          <cell r="S1591">
            <v>1691</v>
          </cell>
          <cell r="Y1591">
            <v>44498</v>
          </cell>
          <cell r="AF1591" t="str">
            <v>PAITA</v>
          </cell>
        </row>
        <row r="1592">
          <cell r="C1592" t="str">
            <v>MF-150.4/21</v>
          </cell>
          <cell r="E1592" t="str">
            <v>ÁCIDO FOSFÓRICO</v>
          </cell>
          <cell r="F1592" t="str">
            <v>WEGROW AG</v>
          </cell>
          <cell r="P1592">
            <v>307.39999999999998</v>
          </cell>
          <cell r="R1592" t="str">
            <v>CPT</v>
          </cell>
          <cell r="S1592">
            <v>1691</v>
          </cell>
          <cell r="Y1592">
            <v>44547</v>
          </cell>
          <cell r="AF1592" t="str">
            <v>PAITA</v>
          </cell>
        </row>
        <row r="1593">
          <cell r="C1593" t="str">
            <v>MF-151.1/21</v>
          </cell>
          <cell r="E1593" t="str">
            <v>FOSFATO MONOAMÓNICO CRISTALIZADO</v>
          </cell>
          <cell r="F1593" t="str">
            <v>ECOCHEM GROUP CO.LTD</v>
          </cell>
          <cell r="P1593">
            <v>450</v>
          </cell>
          <cell r="R1593" t="str">
            <v>CIF</v>
          </cell>
          <cell r="S1593">
            <v>1040</v>
          </cell>
          <cell r="Y1593">
            <v>44528</v>
          </cell>
          <cell r="AF1593" t="str">
            <v>CALLAO</v>
          </cell>
        </row>
        <row r="1594">
          <cell r="C1594" t="str">
            <v>MF-151.2/21</v>
          </cell>
          <cell r="E1594" t="str">
            <v>FOSFATO MONOAMÓNICO CRISTALIZADO</v>
          </cell>
          <cell r="F1594" t="str">
            <v>ECOCHEM GROUP CO.LTD</v>
          </cell>
          <cell r="P1594">
            <v>100</v>
          </cell>
          <cell r="R1594" t="str">
            <v>CIF</v>
          </cell>
          <cell r="S1594">
            <v>1060</v>
          </cell>
          <cell r="Y1594">
            <v>44528</v>
          </cell>
          <cell r="AF1594" t="str">
            <v>CALLAO</v>
          </cell>
        </row>
        <row r="1595">
          <cell r="C1595" t="str">
            <v>MF-152/21</v>
          </cell>
          <cell r="E1595" t="str">
            <v>NITRATO DE MAGNESIO HEXAHIDRATADO</v>
          </cell>
          <cell r="F1595" t="str">
            <v>ECOCHEM GROUP CO.LTD</v>
          </cell>
          <cell r="P1595">
            <v>200</v>
          </cell>
          <cell r="R1595" t="str">
            <v>CIF</v>
          </cell>
          <cell r="S1595">
            <v>395</v>
          </cell>
          <cell r="Y1595">
            <v>44468</v>
          </cell>
          <cell r="AF1595" t="str">
            <v>PAITA</v>
          </cell>
        </row>
        <row r="1596">
          <cell r="C1596" t="str">
            <v>MF-153/21</v>
          </cell>
          <cell r="E1596" t="str">
            <v>NITRATO DE MAGNESIO HEXAHIDRATADO</v>
          </cell>
          <cell r="F1596" t="str">
            <v>ECOCHEM GROUP CO.LTD</v>
          </cell>
          <cell r="P1596">
            <v>175</v>
          </cell>
          <cell r="R1596" t="str">
            <v>CIF</v>
          </cell>
          <cell r="S1596">
            <v>395</v>
          </cell>
          <cell r="Y1596">
            <v>44528</v>
          </cell>
          <cell r="AF1596" t="str">
            <v>CALLAO</v>
          </cell>
        </row>
        <row r="1597">
          <cell r="C1597" t="str">
            <v>MF-154/21</v>
          </cell>
          <cell r="E1597" t="str">
            <v>SULFATO DE POTASIO SOLUBLE</v>
          </cell>
          <cell r="F1597" t="str">
            <v>WEGROW AG</v>
          </cell>
          <cell r="P1597">
            <v>240</v>
          </cell>
          <cell r="R1597" t="str">
            <v>CPT</v>
          </cell>
          <cell r="S1597">
            <v>775</v>
          </cell>
          <cell r="Y1597">
            <v>44583</v>
          </cell>
          <cell r="AF1597" t="str">
            <v>CALLAO</v>
          </cell>
        </row>
        <row r="1598">
          <cell r="C1598" t="str">
            <v>MF-155/21</v>
          </cell>
          <cell r="E1598" t="str">
            <v>YARATERA CALCINIT X 25KG</v>
          </cell>
          <cell r="F1598" t="str">
            <v>YARA PERÚ SRL</v>
          </cell>
          <cell r="P1598">
            <v>540</v>
          </cell>
          <cell r="R1598" t="str">
            <v>CFR</v>
          </cell>
          <cell r="S1598">
            <v>269</v>
          </cell>
          <cell r="Y1598">
            <v>44440</v>
          </cell>
          <cell r="AF1598" t="str">
            <v>PAITA</v>
          </cell>
        </row>
        <row r="1599">
          <cell r="C1599" t="str">
            <v>MF-156.1/21</v>
          </cell>
          <cell r="E1599" t="str">
            <v>YARALIVA NITRABOR X25 KG</v>
          </cell>
          <cell r="F1599" t="str">
            <v>YARA PERÚ SRL</v>
          </cell>
          <cell r="P1599">
            <v>270</v>
          </cell>
          <cell r="R1599" t="str">
            <v>CFR</v>
          </cell>
          <cell r="S1599">
            <v>341</v>
          </cell>
          <cell r="Y1599">
            <v>44440</v>
          </cell>
          <cell r="AF1599" t="str">
            <v>PAITA</v>
          </cell>
        </row>
        <row r="1600">
          <cell r="C1600" t="str">
            <v>MF-156.2/21</v>
          </cell>
          <cell r="E1600" t="str">
            <v>YARALIVA NITRABOR X25 KG</v>
          </cell>
          <cell r="F1600" t="str">
            <v>YARA PERÚ SRL</v>
          </cell>
          <cell r="P1600">
            <v>27</v>
          </cell>
          <cell r="R1600" t="str">
            <v>CFR</v>
          </cell>
          <cell r="S1600">
            <v>341</v>
          </cell>
          <cell r="Y1600">
            <v>44432</v>
          </cell>
          <cell r="AF1600" t="str">
            <v>PAITA</v>
          </cell>
        </row>
        <row r="1601">
          <cell r="C1601" t="str">
            <v>MUESTRA 2/21</v>
          </cell>
          <cell r="E1601" t="str">
            <v>YARAREGA AZUTEK</v>
          </cell>
          <cell r="F1601" t="str">
            <v>YARA PERÚ SRL</v>
          </cell>
          <cell r="P1601">
            <v>5.4</v>
          </cell>
          <cell r="R1601" t="str">
            <v>CFR</v>
          </cell>
          <cell r="S1601">
            <v>0</v>
          </cell>
          <cell r="Y1601">
            <v>44427</v>
          </cell>
          <cell r="AF1601" t="str">
            <v>CALLAO</v>
          </cell>
        </row>
        <row r="1602">
          <cell r="C1602" t="str">
            <v>MF-157/21</v>
          </cell>
          <cell r="E1602" t="str">
            <v>FOSFATO DIAMÓNICO GRANULAR</v>
          </cell>
          <cell r="F1602" t="str">
            <v>NITRON GROUP LLC</v>
          </cell>
          <cell r="P1602">
            <v>900</v>
          </cell>
          <cell r="R1602" t="str">
            <v>CFR</v>
          </cell>
          <cell r="S1602">
            <v>705</v>
          </cell>
          <cell r="Y1602">
            <v>44506</v>
          </cell>
          <cell r="AF1602" t="str">
            <v>PAITA</v>
          </cell>
        </row>
        <row r="1603">
          <cell r="C1603" t="str">
            <v>MF-158/21</v>
          </cell>
          <cell r="E1603" t="str">
            <v>YARATERA REXOLIN ZN X 5KG</v>
          </cell>
          <cell r="F1603" t="str">
            <v>YARA PERÚ SRL</v>
          </cell>
          <cell r="P1603">
            <v>8</v>
          </cell>
          <cell r="R1603" t="str">
            <v>CFR</v>
          </cell>
          <cell r="S1603">
            <v>5560</v>
          </cell>
          <cell r="Y1603">
            <v>44511</v>
          </cell>
          <cell r="AF1603" t="str">
            <v>CALLAO</v>
          </cell>
        </row>
        <row r="1604">
          <cell r="C1604" t="str">
            <v>MF-159/21</v>
          </cell>
          <cell r="E1604" t="str">
            <v>YARATERA REXOLIN ZN X 5KG</v>
          </cell>
          <cell r="F1604" t="str">
            <v>YARA PERÚ SRL</v>
          </cell>
          <cell r="P1604">
            <v>16</v>
          </cell>
          <cell r="R1604" t="str">
            <v>CFR</v>
          </cell>
          <cell r="S1604">
            <v>5500</v>
          </cell>
          <cell r="Y1604">
            <v>44504</v>
          </cell>
          <cell r="AF1604" t="str">
            <v>CALLAO</v>
          </cell>
        </row>
        <row r="1605">
          <cell r="C1605" t="str">
            <v>MF-160/21</v>
          </cell>
          <cell r="E1605" t="str">
            <v>YARATERA CALCINIT X 25KG</v>
          </cell>
          <cell r="F1605" t="str">
            <v>YARA PERÚ SRL</v>
          </cell>
          <cell r="P1605">
            <v>270</v>
          </cell>
          <cell r="R1605" t="str">
            <v>CFR</v>
          </cell>
          <cell r="S1605">
            <v>269</v>
          </cell>
          <cell r="Y1605">
            <v>44434</v>
          </cell>
          <cell r="AF1605" t="str">
            <v>CALLAO</v>
          </cell>
        </row>
        <row r="1606">
          <cell r="C1606" t="str">
            <v>MF-161/21</v>
          </cell>
          <cell r="E1606" t="str">
            <v>YARATERA CALCINIT X 25KG</v>
          </cell>
          <cell r="F1606" t="str">
            <v>YARA PERÚ SRL</v>
          </cell>
          <cell r="P1606">
            <v>621</v>
          </cell>
          <cell r="R1606" t="str">
            <v>CFR</v>
          </cell>
          <cell r="S1606">
            <v>269</v>
          </cell>
          <cell r="Y1606">
            <v>44432</v>
          </cell>
          <cell r="AF1606" t="str">
            <v>PAITA</v>
          </cell>
        </row>
        <row r="1607">
          <cell r="C1607" t="str">
            <v>MF-162.1/21</v>
          </cell>
          <cell r="E1607" t="str">
            <v>YARATERA REXOLIN X60 X5KG</v>
          </cell>
          <cell r="F1607" t="str">
            <v>YARA PERÚ SRL</v>
          </cell>
          <cell r="P1607">
            <v>6.4</v>
          </cell>
          <cell r="R1607" t="str">
            <v>CFR</v>
          </cell>
          <cell r="S1607">
            <v>10000</v>
          </cell>
          <cell r="Y1607">
            <v>44504</v>
          </cell>
          <cell r="AF1607" t="str">
            <v>CALLAO</v>
          </cell>
        </row>
        <row r="1608">
          <cell r="C1608" t="str">
            <v>MF-162.2/21</v>
          </cell>
          <cell r="E1608" t="str">
            <v>YARATERA REXOLIN X60 X5KG</v>
          </cell>
          <cell r="F1608" t="str">
            <v>YARA PERÚ SRL</v>
          </cell>
          <cell r="P1608">
            <v>9.6</v>
          </cell>
          <cell r="R1608" t="str">
            <v>CFR</v>
          </cell>
          <cell r="S1608">
            <v>10000</v>
          </cell>
          <cell r="Y1608">
            <v>44542</v>
          </cell>
          <cell r="AF1608" t="str">
            <v>CALLAO</v>
          </cell>
        </row>
        <row r="1609">
          <cell r="C1609" t="str">
            <v>MF-163/21</v>
          </cell>
          <cell r="E1609" t="str">
            <v>BROWN AGRONYL CR X 20KG</v>
          </cell>
          <cell r="F1609" t="str">
            <v>LUENGO COLOR, SLU</v>
          </cell>
          <cell r="P1609">
            <v>2</v>
          </cell>
          <cell r="R1609" t="str">
            <v>CIF</v>
          </cell>
          <cell r="S1609">
            <v>4320</v>
          </cell>
          <cell r="Y1609">
            <v>44490</v>
          </cell>
          <cell r="AF1609" t="str">
            <v>CALLAO</v>
          </cell>
        </row>
        <row r="1610">
          <cell r="C1610" t="str">
            <v>MF-164/21</v>
          </cell>
          <cell r="E1610" t="str">
            <v>YARALIVA NITRABOR A GRANEL</v>
          </cell>
          <cell r="F1610" t="str">
            <v>YARA PERÚ SRL</v>
          </cell>
          <cell r="P1610">
            <v>214.1</v>
          </cell>
          <cell r="R1610" t="str">
            <v>CFR</v>
          </cell>
          <cell r="S1610">
            <v>319.41000000000003</v>
          </cell>
          <cell r="Y1610">
            <v>44489</v>
          </cell>
          <cell r="AF1610" t="str">
            <v>PAITA</v>
          </cell>
        </row>
        <row r="1611">
          <cell r="C1611" t="str">
            <v>MF-165/21</v>
          </cell>
          <cell r="E1611" t="str">
            <v>YARALIVA NITRABOR A GRANEL</v>
          </cell>
          <cell r="F1611" t="str">
            <v>YARA PERÚ SRL</v>
          </cell>
          <cell r="P1611">
            <v>161.19999999999999</v>
          </cell>
          <cell r="R1611" t="str">
            <v>CFR</v>
          </cell>
          <cell r="S1611">
            <v>319.24</v>
          </cell>
          <cell r="Y1611">
            <v>44483</v>
          </cell>
          <cell r="AF1611" t="str">
            <v>CALLAO</v>
          </cell>
        </row>
        <row r="1612">
          <cell r="C1612" t="str">
            <v>MF-166/21</v>
          </cell>
          <cell r="E1612" t="str">
            <v>YARALIVA NITRABOR A GRANEL</v>
          </cell>
          <cell r="F1612" t="str">
            <v>YARA PERÚ SRL</v>
          </cell>
          <cell r="P1612">
            <v>108</v>
          </cell>
          <cell r="R1612" t="str">
            <v>CFR</v>
          </cell>
          <cell r="S1612">
            <v>0</v>
          </cell>
          <cell r="Y1612">
            <v>44542</v>
          </cell>
          <cell r="AF1612" t="str">
            <v>CALLAO</v>
          </cell>
        </row>
        <row r="1613">
          <cell r="C1613" t="str">
            <v>MF-167/21</v>
          </cell>
          <cell r="E1613" t="str">
            <v>YARALIVA NITRABOR A GRANEL</v>
          </cell>
          <cell r="F1613" t="str">
            <v>YARA PERÚ SRL</v>
          </cell>
          <cell r="P1613">
            <v>27</v>
          </cell>
          <cell r="R1613" t="str">
            <v>CFR</v>
          </cell>
          <cell r="S1613">
            <v>341</v>
          </cell>
          <cell r="Y1613">
            <v>44539</v>
          </cell>
          <cell r="AF1613" t="str">
            <v>MATARANI</v>
          </cell>
        </row>
        <row r="1614">
          <cell r="C1614" t="str">
            <v>MF-168/21</v>
          </cell>
          <cell r="E1614" t="str">
            <v>YARATERA CALCINIT X 25KG</v>
          </cell>
          <cell r="F1614" t="str">
            <v>YARA PERÚ SRL</v>
          </cell>
          <cell r="P1614">
            <v>270</v>
          </cell>
          <cell r="R1614" t="str">
            <v>CFR</v>
          </cell>
          <cell r="S1614">
            <v>296.06</v>
          </cell>
          <cell r="Y1614">
            <v>44462</v>
          </cell>
          <cell r="AF1614" t="str">
            <v>CALLAO</v>
          </cell>
        </row>
        <row r="1615">
          <cell r="C1615" t="str">
            <v>MF-169/21</v>
          </cell>
          <cell r="E1615" t="str">
            <v>YARATERA CALCINIT X 25KG</v>
          </cell>
          <cell r="F1615" t="str">
            <v>YARA PERÚ SRL</v>
          </cell>
          <cell r="P1615">
            <v>54</v>
          </cell>
          <cell r="R1615" t="str">
            <v>CFR</v>
          </cell>
          <cell r="S1615">
            <v>271.08</v>
          </cell>
          <cell r="Y1615">
            <v>44443</v>
          </cell>
          <cell r="AF1615" t="str">
            <v>MATARANI</v>
          </cell>
        </row>
        <row r="1616">
          <cell r="C1616" t="str">
            <v>MF-170/21</v>
          </cell>
          <cell r="E1616" t="str">
            <v>YARATERA CALCINIT X 25KG</v>
          </cell>
          <cell r="F1616" t="str">
            <v>YARA PERÚ SRL</v>
          </cell>
          <cell r="P1616">
            <v>135</v>
          </cell>
          <cell r="R1616" t="str">
            <v>CFR</v>
          </cell>
          <cell r="S1616">
            <v>269</v>
          </cell>
          <cell r="Y1616">
            <v>44439</v>
          </cell>
          <cell r="AF1616" t="str">
            <v>CALLAO</v>
          </cell>
        </row>
        <row r="1617">
          <cell r="C1617" t="str">
            <v>MF-171.1/21</v>
          </cell>
          <cell r="E1617" t="str">
            <v>YARATERA CALCINIT X 25KG</v>
          </cell>
          <cell r="F1617" t="str">
            <v>YARA PERÚ SRL</v>
          </cell>
          <cell r="P1617">
            <v>135</v>
          </cell>
          <cell r="R1617" t="str">
            <v>CFR</v>
          </cell>
          <cell r="S1617">
            <v>269</v>
          </cell>
          <cell r="Y1617">
            <v>44441</v>
          </cell>
          <cell r="AF1617" t="str">
            <v>CALLAO</v>
          </cell>
        </row>
        <row r="1618">
          <cell r="C1618" t="str">
            <v>MF-171.2/21</v>
          </cell>
          <cell r="E1618" t="str">
            <v>YARATERA CALCINIT X 25KG</v>
          </cell>
          <cell r="F1618" t="str">
            <v>YARA PERÚ SRL</v>
          </cell>
          <cell r="P1618">
            <v>270</v>
          </cell>
          <cell r="R1618" t="str">
            <v>CFR</v>
          </cell>
          <cell r="S1618">
            <v>269</v>
          </cell>
          <cell r="Y1618">
            <v>44449</v>
          </cell>
          <cell r="AF1618" t="str">
            <v>CALLAO</v>
          </cell>
        </row>
        <row r="1619">
          <cell r="C1619" t="str">
            <v>MF-172/21</v>
          </cell>
          <cell r="E1619" t="str">
            <v>YARATERA CALCINIT X 25KG</v>
          </cell>
          <cell r="F1619" t="str">
            <v>YARA PERÚ SRL</v>
          </cell>
          <cell r="P1619">
            <v>270</v>
          </cell>
          <cell r="R1619" t="str">
            <v>CFR</v>
          </cell>
          <cell r="S1619">
            <v>296.06</v>
          </cell>
          <cell r="Y1619">
            <v>44454</v>
          </cell>
          <cell r="AF1619" t="str">
            <v>PAITA</v>
          </cell>
        </row>
        <row r="1620">
          <cell r="C1620" t="str">
            <v>MF-173/21</v>
          </cell>
          <cell r="E1620" t="str">
            <v>YARATERA CALCINIT X 25KG</v>
          </cell>
          <cell r="F1620" t="str">
            <v>YARA PERÚ SRL</v>
          </cell>
          <cell r="P1620">
            <v>270</v>
          </cell>
          <cell r="R1620" t="str">
            <v>CFR</v>
          </cell>
          <cell r="S1620">
            <v>296.06</v>
          </cell>
          <cell r="Y1620">
            <v>44468</v>
          </cell>
          <cell r="AF1620" t="str">
            <v>PAITA</v>
          </cell>
        </row>
        <row r="1621">
          <cell r="C1621" t="str">
            <v>MF-174/21</v>
          </cell>
          <cell r="E1621" t="str">
            <v>YARATERA CALCINIT X 25KG</v>
          </cell>
          <cell r="F1621" t="str">
            <v>YARA PERÚ SRL</v>
          </cell>
          <cell r="P1621">
            <v>270</v>
          </cell>
          <cell r="R1621" t="str">
            <v>CFR</v>
          </cell>
          <cell r="S1621">
            <v>296.06</v>
          </cell>
          <cell r="Y1621">
            <v>44461</v>
          </cell>
          <cell r="AF1621" t="str">
            <v>PAITA</v>
          </cell>
        </row>
        <row r="1622">
          <cell r="C1622" t="str">
            <v>MF-175/21</v>
          </cell>
          <cell r="E1622" t="str">
            <v>YARATERA CALCINIT X 25KG</v>
          </cell>
          <cell r="F1622" t="str">
            <v>YARA PERÚ SRL</v>
          </cell>
          <cell r="P1622">
            <v>270</v>
          </cell>
          <cell r="R1622" t="str">
            <v>CFR</v>
          </cell>
          <cell r="S1622">
            <v>296.06</v>
          </cell>
          <cell r="Y1622">
            <v>44461</v>
          </cell>
          <cell r="AF1622" t="str">
            <v>PAITA</v>
          </cell>
        </row>
        <row r="1623">
          <cell r="C1623" t="str">
            <v>MF-176/21</v>
          </cell>
          <cell r="E1623" t="str">
            <v>YARATERA CALCINIT X 25KG</v>
          </cell>
          <cell r="F1623" t="str">
            <v>YARA PERÚ SRL</v>
          </cell>
          <cell r="P1623">
            <v>270</v>
          </cell>
          <cell r="R1623" t="str">
            <v>CFR</v>
          </cell>
          <cell r="S1623">
            <v>296.06</v>
          </cell>
          <cell r="Y1623">
            <v>44462</v>
          </cell>
          <cell r="AF1623" t="str">
            <v>CALLAO</v>
          </cell>
        </row>
        <row r="1624">
          <cell r="C1624" t="str">
            <v>MF-177/21</v>
          </cell>
          <cell r="E1624" t="str">
            <v>YARATERA CALCINIT X 25KG</v>
          </cell>
          <cell r="F1624" t="str">
            <v>YARA PERÚ SRL</v>
          </cell>
          <cell r="P1624">
            <v>351</v>
          </cell>
          <cell r="R1624" t="str">
            <v>CFR</v>
          </cell>
          <cell r="S1624">
            <v>296.06</v>
          </cell>
          <cell r="Y1624">
            <v>44477</v>
          </cell>
          <cell r="AF1624" t="str">
            <v>CALLAO</v>
          </cell>
        </row>
        <row r="1625">
          <cell r="C1625" t="str">
            <v>MF-178/21</v>
          </cell>
          <cell r="E1625" t="str">
            <v>YARATERA CALCINIT X 25KG</v>
          </cell>
          <cell r="F1625" t="str">
            <v>YARA PERÚ SRL</v>
          </cell>
          <cell r="P1625">
            <v>297</v>
          </cell>
          <cell r="R1625" t="str">
            <v>CFR</v>
          </cell>
          <cell r="S1625">
            <v>296.06</v>
          </cell>
          <cell r="Y1625">
            <v>44470</v>
          </cell>
          <cell r="AF1625" t="str">
            <v>CALLAO</v>
          </cell>
        </row>
        <row r="1626">
          <cell r="C1626" t="str">
            <v>MF-179/21</v>
          </cell>
          <cell r="E1626" t="str">
            <v>YARATERA CALCINIT X 25KG</v>
          </cell>
          <cell r="F1626" t="str">
            <v>YARA PERÚ SRL</v>
          </cell>
          <cell r="P1626">
            <v>270</v>
          </cell>
          <cell r="R1626" t="str">
            <v>CFR</v>
          </cell>
          <cell r="S1626">
            <v>296.06</v>
          </cell>
          <cell r="Y1626">
            <v>44477</v>
          </cell>
          <cell r="AF1626" t="str">
            <v>CALLAO</v>
          </cell>
        </row>
        <row r="1627">
          <cell r="C1627" t="str">
            <v>MF-180/21</v>
          </cell>
          <cell r="E1627" t="str">
            <v>YARATERA CALCINIT X 25KG</v>
          </cell>
          <cell r="F1627" t="str">
            <v>YARA PERÚ SRL</v>
          </cell>
          <cell r="P1627">
            <v>351</v>
          </cell>
          <cell r="R1627" t="str">
            <v>CFR</v>
          </cell>
          <cell r="S1627">
            <v>296.06</v>
          </cell>
          <cell r="Y1627">
            <v>44477</v>
          </cell>
          <cell r="AF1627" t="str">
            <v>CALLAO</v>
          </cell>
        </row>
        <row r="1628">
          <cell r="C1628" t="str">
            <v>MF-181/21</v>
          </cell>
          <cell r="E1628" t="str">
            <v>YARATERA CALCINIT X 25KG</v>
          </cell>
          <cell r="F1628" t="str">
            <v>YARA PERÚ SRL</v>
          </cell>
          <cell r="P1628">
            <v>108</v>
          </cell>
          <cell r="R1628" t="str">
            <v>CFR</v>
          </cell>
          <cell r="S1628">
            <v>296.06</v>
          </cell>
          <cell r="Y1628">
            <v>44483</v>
          </cell>
          <cell r="AF1628" t="str">
            <v>CALLAO</v>
          </cell>
        </row>
        <row r="1629">
          <cell r="C1629" t="str">
            <v>MF-182/21</v>
          </cell>
          <cell r="E1629" t="str">
            <v>YARATERA REXOLIN CXK X5KG</v>
          </cell>
          <cell r="F1629" t="str">
            <v>YARA PERÚ SRL</v>
          </cell>
          <cell r="P1629">
            <v>3.2</v>
          </cell>
          <cell r="R1629" t="str">
            <v>CFR</v>
          </cell>
          <cell r="S1629">
            <v>8600</v>
          </cell>
          <cell r="Y1629">
            <v>44504</v>
          </cell>
          <cell r="AF1629" t="str">
            <v>CALLAO</v>
          </cell>
        </row>
        <row r="1630">
          <cell r="C1630" t="str">
            <v>MF-183/21</v>
          </cell>
          <cell r="E1630" t="str">
            <v>YARATERA REXOLIN MN13 X5KG</v>
          </cell>
          <cell r="F1630" t="str">
            <v>YARA PERÚ SRL</v>
          </cell>
          <cell r="P1630">
            <v>2.8</v>
          </cell>
          <cell r="R1630" t="str">
            <v>CFR</v>
          </cell>
          <cell r="S1630">
            <v>7200</v>
          </cell>
          <cell r="Y1630">
            <v>44539</v>
          </cell>
          <cell r="AF1630" t="str">
            <v>CALLAO</v>
          </cell>
        </row>
        <row r="1631">
          <cell r="C1631" t="str">
            <v>MF-184.1/21</v>
          </cell>
          <cell r="E1631" t="str">
            <v>YARATERA REXOLIN Q48 X5KG</v>
          </cell>
          <cell r="F1631" t="str">
            <v>YARA PERÚ SRL</v>
          </cell>
          <cell r="P1631">
            <v>6.4</v>
          </cell>
          <cell r="R1631" t="str">
            <v>CFR</v>
          </cell>
          <cell r="S1631">
            <v>8000</v>
          </cell>
          <cell r="Y1631">
            <v>44504</v>
          </cell>
          <cell r="AF1631" t="str">
            <v>CALLAO</v>
          </cell>
        </row>
        <row r="1632">
          <cell r="C1632" t="str">
            <v>MF-184.2/21</v>
          </cell>
          <cell r="E1632" t="str">
            <v>YARATERA REXOLIN Q48 X5KG</v>
          </cell>
          <cell r="F1632" t="str">
            <v>YARA PERÚ SRL</v>
          </cell>
          <cell r="P1632">
            <v>3.6</v>
          </cell>
          <cell r="R1632" t="str">
            <v>CFR</v>
          </cell>
          <cell r="S1632">
            <v>8000</v>
          </cell>
          <cell r="Y1632">
            <v>44539</v>
          </cell>
          <cell r="AF1632" t="str">
            <v>CALLAO</v>
          </cell>
        </row>
        <row r="1633">
          <cell r="C1633" t="str">
            <v>MF-185/21</v>
          </cell>
          <cell r="E1633" t="str">
            <v>YARAVITA MAGTRAC X 10L</v>
          </cell>
          <cell r="F1633" t="str">
            <v>YARA PERÚ SRL</v>
          </cell>
          <cell r="P1633">
            <v>19.474</v>
          </cell>
          <cell r="R1633" t="str">
            <v>CFR</v>
          </cell>
          <cell r="S1633">
            <v>2937.2496000000001</v>
          </cell>
          <cell r="Y1633">
            <v>44504</v>
          </cell>
          <cell r="AF1633" t="str">
            <v>CALLAO</v>
          </cell>
        </row>
        <row r="1634">
          <cell r="C1634" t="str">
            <v>MF-186/21</v>
          </cell>
          <cell r="E1634" t="str">
            <v>TIOSULFATO DE POTASIO</v>
          </cell>
          <cell r="F1634" t="str">
            <v>WEGROW AG</v>
          </cell>
          <cell r="P1634">
            <v>24.65</v>
          </cell>
          <cell r="R1634" t="str">
            <v>CPT</v>
          </cell>
          <cell r="S1634">
            <v>1059</v>
          </cell>
          <cell r="Y1634">
            <v>44529</v>
          </cell>
          <cell r="AF1634" t="str">
            <v>CALLAO</v>
          </cell>
        </row>
        <row r="1635">
          <cell r="C1635" t="str">
            <v>MF-187/21</v>
          </cell>
          <cell r="E1635" t="str">
            <v>ÁCIDO FOSFÓRICO</v>
          </cell>
          <cell r="F1635" t="str">
            <v>NITRON GROUP LLC</v>
          </cell>
          <cell r="P1635">
            <v>100</v>
          </cell>
          <cell r="R1635" t="str">
            <v>CFR</v>
          </cell>
          <cell r="S1635">
            <v>1557</v>
          </cell>
          <cell r="Y1635">
            <v>44551</v>
          </cell>
          <cell r="AF1635" t="str">
            <v>PAITA</v>
          </cell>
        </row>
        <row r="1636">
          <cell r="C1636" t="str">
            <v>MF-188/21</v>
          </cell>
          <cell r="E1636" t="str">
            <v>ÁCIDO FOSFÓRICO</v>
          </cell>
          <cell r="F1636" t="str">
            <v>NITRON GROUP LLC</v>
          </cell>
          <cell r="P1636">
            <v>408</v>
          </cell>
          <cell r="R1636" t="str">
            <v>CFR</v>
          </cell>
          <cell r="S1636">
            <v>1546</v>
          </cell>
          <cell r="Y1636">
            <v>44505</v>
          </cell>
          <cell r="AF1636" t="str">
            <v>PAITA</v>
          </cell>
        </row>
        <row r="1637">
          <cell r="C1637" t="str">
            <v>MF-189A/21</v>
          </cell>
          <cell r="E1637" t="str">
            <v>NITRATO DE POTASIO CRISTALIZADO</v>
          </cell>
          <cell r="F1637" t="str">
            <v>CHENGDU ROCCA CO.,LTD</v>
          </cell>
          <cell r="P1637">
            <v>0</v>
          </cell>
          <cell r="R1637">
            <v>0</v>
          </cell>
          <cell r="S1637">
            <v>0</v>
          </cell>
          <cell r="Y1637">
            <v>0</v>
          </cell>
          <cell r="AF1637">
            <v>0</v>
          </cell>
        </row>
        <row r="1638">
          <cell r="C1638" t="str">
            <v>MF-189B/21</v>
          </cell>
          <cell r="E1638" t="str">
            <v>NITRATO DE POTASIO CRISTALIZADO</v>
          </cell>
          <cell r="F1638" t="str">
            <v>CHENGDU ROCCA CO.,LTD</v>
          </cell>
          <cell r="P1638">
            <v>0</v>
          </cell>
          <cell r="R1638">
            <v>0</v>
          </cell>
          <cell r="S1638">
            <v>0</v>
          </cell>
          <cell r="Y1638">
            <v>0</v>
          </cell>
          <cell r="AF1638">
            <v>0</v>
          </cell>
        </row>
        <row r="1639">
          <cell r="C1639" t="str">
            <v>MF-190/21</v>
          </cell>
          <cell r="E1639" t="str">
            <v>SULFATO DE ZINC HEPTAHIDRATADO</v>
          </cell>
          <cell r="F1639" t="str">
            <v>WEGROW AG</v>
          </cell>
          <cell r="P1639">
            <v>98</v>
          </cell>
          <cell r="R1639" t="str">
            <v>CFR</v>
          </cell>
          <cell r="S1639">
            <v>768</v>
          </cell>
          <cell r="Y1639">
            <v>44562</v>
          </cell>
          <cell r="AF1639" t="str">
            <v>CALLAO</v>
          </cell>
        </row>
        <row r="1640">
          <cell r="C1640" t="str">
            <v>MF-191A/21</v>
          </cell>
          <cell r="E1640" t="str">
            <v>SULFATO DE AMONIO ESTÁNDAR</v>
          </cell>
          <cell r="F1640" t="str">
            <v xml:space="preserve">TGO Agriculture (USA) Inc. </v>
          </cell>
          <cell r="P1640">
            <v>1750</v>
          </cell>
          <cell r="R1640" t="str">
            <v>CFR</v>
          </cell>
          <cell r="S1640">
            <v>286</v>
          </cell>
          <cell r="Y1640">
            <v>44540</v>
          </cell>
          <cell r="AF1640" t="str">
            <v>PAITA</v>
          </cell>
        </row>
        <row r="1641">
          <cell r="C1641" t="str">
            <v>MF-191B/21</v>
          </cell>
          <cell r="E1641" t="str">
            <v>SULFATO DE AMONIO ESTÁNDAR</v>
          </cell>
          <cell r="F1641" t="str">
            <v xml:space="preserve">TGO Agriculture (USA) Inc. </v>
          </cell>
          <cell r="P1641">
            <v>2300</v>
          </cell>
          <cell r="R1641" t="str">
            <v>CFR</v>
          </cell>
          <cell r="S1641">
            <v>286</v>
          </cell>
          <cell r="Y1641">
            <v>44542</v>
          </cell>
          <cell r="AF1641" t="str">
            <v>SALAVERRY</v>
          </cell>
        </row>
        <row r="1642">
          <cell r="C1642" t="str">
            <v>MF-191C/21</v>
          </cell>
          <cell r="E1642" t="str">
            <v>SULFATO DE AMONIO ESTÁNDAR</v>
          </cell>
          <cell r="F1642" t="str">
            <v xml:space="preserve">TGO Agriculture (USA) Inc. </v>
          </cell>
          <cell r="P1642">
            <v>950</v>
          </cell>
          <cell r="R1642" t="str">
            <v>CFR</v>
          </cell>
          <cell r="S1642">
            <v>286</v>
          </cell>
          <cell r="Y1642">
            <v>44544</v>
          </cell>
          <cell r="AF1642" t="str">
            <v>CALLAO</v>
          </cell>
        </row>
        <row r="1643">
          <cell r="C1643" t="str">
            <v>MF-191D/21</v>
          </cell>
          <cell r="E1643" t="str">
            <v>SULFATO DE AMONIO ESTÁNDAR</v>
          </cell>
          <cell r="F1643" t="str">
            <v xml:space="preserve">TGO Agriculture (USA) Inc. </v>
          </cell>
          <cell r="P1643">
            <v>400</v>
          </cell>
          <cell r="R1643" t="str">
            <v>CFR</v>
          </cell>
          <cell r="S1643">
            <v>286</v>
          </cell>
          <cell r="Y1643">
            <v>44547</v>
          </cell>
          <cell r="AF1643" t="str">
            <v>MATARANI</v>
          </cell>
        </row>
        <row r="1644">
          <cell r="C1644" t="str">
            <v>MF-192A/21</v>
          </cell>
          <cell r="E1644" t="str">
            <v>FOSFATO DIAMÓNICO GRANULAR</v>
          </cell>
          <cell r="F1644" t="str">
            <v xml:space="preserve">TGO Agriculture (USA) Inc. </v>
          </cell>
          <cell r="P1644">
            <v>400</v>
          </cell>
          <cell r="R1644" t="str">
            <v>CFR</v>
          </cell>
          <cell r="S1644">
            <v>720</v>
          </cell>
          <cell r="Y1644">
            <v>44540</v>
          </cell>
          <cell r="AF1644" t="str">
            <v>PAITA</v>
          </cell>
        </row>
        <row r="1645">
          <cell r="C1645" t="str">
            <v>MF-192B/21</v>
          </cell>
          <cell r="E1645" t="str">
            <v>FOSFATO DIAMÓNICO GRANULAR</v>
          </cell>
          <cell r="F1645" t="str">
            <v xml:space="preserve">TGO Agriculture (USA) Inc. </v>
          </cell>
          <cell r="P1645">
            <v>300</v>
          </cell>
          <cell r="R1645" t="str">
            <v>CFR</v>
          </cell>
          <cell r="S1645">
            <v>720</v>
          </cell>
          <cell r="Y1645">
            <v>44542</v>
          </cell>
          <cell r="AF1645" t="str">
            <v>SALAVERRY</v>
          </cell>
        </row>
        <row r="1646">
          <cell r="C1646" t="str">
            <v>MF-192C/21</v>
          </cell>
          <cell r="E1646" t="str">
            <v>FOSFATO DIAMÓNICO GRANULAR</v>
          </cell>
          <cell r="F1646" t="str">
            <v xml:space="preserve">TGO Agriculture (USA) Inc. </v>
          </cell>
          <cell r="P1646">
            <v>2400</v>
          </cell>
          <cell r="R1646" t="str">
            <v>CFR</v>
          </cell>
          <cell r="S1646">
            <v>720</v>
          </cell>
          <cell r="Y1646">
            <v>44544</v>
          </cell>
          <cell r="AF1646" t="str">
            <v>CALLAO</v>
          </cell>
        </row>
        <row r="1647">
          <cell r="C1647" t="str">
            <v>MF-192D.1/21</v>
          </cell>
          <cell r="E1647" t="str">
            <v>FOSFATO DIAMÓNICO GRANULAR</v>
          </cell>
          <cell r="F1647" t="str">
            <v xml:space="preserve">TGO Agriculture (USA) Inc. </v>
          </cell>
          <cell r="P1647">
            <v>1000</v>
          </cell>
          <cell r="R1647" t="str">
            <v>CFR</v>
          </cell>
          <cell r="S1647">
            <v>720</v>
          </cell>
          <cell r="Y1647">
            <v>44545</v>
          </cell>
          <cell r="AF1647" t="str">
            <v>MATARANI</v>
          </cell>
        </row>
        <row r="1648">
          <cell r="C1648" t="str">
            <v>MF-192D.2/21</v>
          </cell>
          <cell r="E1648" t="str">
            <v>UREA GRANULADA</v>
          </cell>
          <cell r="F1648" t="str">
            <v xml:space="preserve">TGO Agriculture (USA) Inc. </v>
          </cell>
          <cell r="P1648">
            <v>3100</v>
          </cell>
          <cell r="R1648" t="str">
            <v>CFR</v>
          </cell>
          <cell r="S1648">
            <v>720</v>
          </cell>
          <cell r="Y1648">
            <v>44547</v>
          </cell>
          <cell r="AF1648" t="str">
            <v>MATARANI</v>
          </cell>
        </row>
        <row r="1649">
          <cell r="C1649" t="str">
            <v>MF-193A/21</v>
          </cell>
          <cell r="E1649" t="str">
            <v>UREA GRANULADA</v>
          </cell>
          <cell r="F1649" t="str">
            <v xml:space="preserve">TGO Agriculture (USA) Inc. </v>
          </cell>
          <cell r="P1649">
            <v>0</v>
          </cell>
          <cell r="R1649">
            <v>0</v>
          </cell>
          <cell r="S1649">
            <v>0</v>
          </cell>
          <cell r="Y1649">
            <v>0</v>
          </cell>
          <cell r="AF1649">
            <v>0</v>
          </cell>
        </row>
        <row r="1650">
          <cell r="C1650" t="str">
            <v>MF-193B/21</v>
          </cell>
          <cell r="E1650" t="str">
            <v>UREA GRANULADA</v>
          </cell>
          <cell r="F1650" t="str">
            <v xml:space="preserve">TGO Agriculture (USA) Inc. </v>
          </cell>
          <cell r="P1650">
            <v>0</v>
          </cell>
          <cell r="R1650">
            <v>0</v>
          </cell>
          <cell r="S1650">
            <v>0</v>
          </cell>
          <cell r="Y1650">
            <v>0</v>
          </cell>
          <cell r="AF1650">
            <v>0</v>
          </cell>
        </row>
        <row r="1651">
          <cell r="C1651" t="str">
            <v>MF-193C/21</v>
          </cell>
          <cell r="E1651" t="str">
            <v>UREA ADBLUE (BIG BAG)</v>
          </cell>
          <cell r="F1651" t="str">
            <v xml:space="preserve">TGO Agriculture (USA) Inc. </v>
          </cell>
          <cell r="P1651">
            <v>0</v>
          </cell>
          <cell r="R1651">
            <v>0</v>
          </cell>
          <cell r="S1651">
            <v>0</v>
          </cell>
          <cell r="Y1651">
            <v>0</v>
          </cell>
          <cell r="AF1651">
            <v>0</v>
          </cell>
        </row>
        <row r="1652">
          <cell r="C1652" t="str">
            <v>MF-194A/21</v>
          </cell>
          <cell r="E1652" t="str">
            <v>UREA ADBLUE (BIG BAG)</v>
          </cell>
          <cell r="F1652" t="str">
            <v xml:space="preserve">TGO Agriculture (USA) Inc. </v>
          </cell>
          <cell r="P1652">
            <v>0</v>
          </cell>
          <cell r="R1652">
            <v>0</v>
          </cell>
          <cell r="S1652">
            <v>0</v>
          </cell>
          <cell r="Y1652">
            <v>0</v>
          </cell>
          <cell r="AF1652">
            <v>0</v>
          </cell>
        </row>
        <row r="1653">
          <cell r="C1653" t="str">
            <v>MF-194B/21</v>
          </cell>
          <cell r="E1653" t="str">
            <v>FOSFATO MONOAMÓNICO CRISTALIZADO</v>
          </cell>
          <cell r="F1653" t="str">
            <v xml:space="preserve">TGO Agriculture (USA) Inc. </v>
          </cell>
          <cell r="P1653">
            <v>0</v>
          </cell>
          <cell r="R1653">
            <v>0</v>
          </cell>
          <cell r="S1653">
            <v>0</v>
          </cell>
          <cell r="Y1653">
            <v>0</v>
          </cell>
          <cell r="AF1653">
            <v>0</v>
          </cell>
        </row>
        <row r="1654">
          <cell r="C1654" t="str">
            <v>MF-195/21</v>
          </cell>
          <cell r="E1654" t="str">
            <v>YARALIVA NITRABOR A GRANEL</v>
          </cell>
          <cell r="F1654" t="str">
            <v xml:space="preserve">TGO Agriculture (USA) Inc. </v>
          </cell>
          <cell r="P1654">
            <v>800</v>
          </cell>
          <cell r="R1654" t="str">
            <v>CFR</v>
          </cell>
          <cell r="S1654">
            <v>982</v>
          </cell>
          <cell r="Y1654">
            <v>44528</v>
          </cell>
          <cell r="AF1654" t="str">
            <v>CALLAO</v>
          </cell>
        </row>
        <row r="1655">
          <cell r="C1655" t="str">
            <v>MF-196/21</v>
          </cell>
          <cell r="E1655" t="str">
            <v>ÁCIDO FOSFÓRICO</v>
          </cell>
          <cell r="F1655" t="str">
            <v>MERRYCORN</v>
          </cell>
          <cell r="P1655">
            <v>54</v>
          </cell>
          <cell r="R1655" t="str">
            <v>CFR</v>
          </cell>
          <cell r="S1655">
            <v>341</v>
          </cell>
          <cell r="Y1655">
            <v>44570</v>
          </cell>
          <cell r="AF1655" t="str">
            <v>MATARANI</v>
          </cell>
        </row>
        <row r="1656">
          <cell r="C1656" t="str">
            <v>MF-197A/21</v>
          </cell>
          <cell r="E1656" t="str">
            <v>ÁCIDO FOSFÓRICO</v>
          </cell>
          <cell r="F1656" t="str">
            <v>YARA PERÚ SRL</v>
          </cell>
          <cell r="P1656">
            <v>300</v>
          </cell>
          <cell r="R1656" t="str">
            <v>CFR</v>
          </cell>
          <cell r="S1656">
            <v>1526</v>
          </cell>
          <cell r="Y1656">
            <v>44582</v>
          </cell>
          <cell r="AF1656" t="str">
            <v>CALLAO</v>
          </cell>
        </row>
        <row r="1657">
          <cell r="C1657" t="str">
            <v>MF-197B/21</v>
          </cell>
          <cell r="E1657" t="str">
            <v>SULFATO DE AMONIO ESTÁNDAR</v>
          </cell>
          <cell r="F1657" t="str">
            <v>NITRON GROUP LLC</v>
          </cell>
          <cell r="P1657">
            <v>400</v>
          </cell>
          <cell r="R1657" t="str">
            <v>CFR</v>
          </cell>
          <cell r="S1657">
            <v>1546</v>
          </cell>
          <cell r="Y1657">
            <v>44582</v>
          </cell>
          <cell r="AF1657" t="str">
            <v>PAITA</v>
          </cell>
        </row>
        <row r="1658">
          <cell r="C1658" t="str">
            <v>MF-198A/21</v>
          </cell>
          <cell r="E1658" t="str">
            <v>SULFATO DE AMONIO ESTÁNDAR</v>
          </cell>
          <cell r="F1658" t="str">
            <v>NITRON GROUP LLC</v>
          </cell>
          <cell r="P1658">
            <v>1700</v>
          </cell>
          <cell r="R1658" t="str">
            <v>CFR</v>
          </cell>
          <cell r="S1658">
            <v>280</v>
          </cell>
          <cell r="Y1658">
            <v>44495</v>
          </cell>
          <cell r="AF1658" t="str">
            <v>PAITA</v>
          </cell>
        </row>
        <row r="1659">
          <cell r="C1659" t="str">
            <v>MF-198B/21</v>
          </cell>
          <cell r="E1659" t="str">
            <v>SULFATO DE AMONIO BLANCO GRANULAR</v>
          </cell>
          <cell r="F1659" t="str">
            <v>NITRON GROUP LLC</v>
          </cell>
          <cell r="P1659">
            <v>800</v>
          </cell>
          <cell r="R1659" t="str">
            <v>CFR</v>
          </cell>
          <cell r="S1659">
            <v>280</v>
          </cell>
          <cell r="Y1659">
            <v>44506</v>
          </cell>
          <cell r="AF1659" t="str">
            <v>PAITA</v>
          </cell>
        </row>
        <row r="1660">
          <cell r="C1660" t="str">
            <v>MF-199A/21</v>
          </cell>
          <cell r="E1660" t="str">
            <v>SULFATO DE AMONIO BLANCO GRANULAR</v>
          </cell>
          <cell r="F1660" t="str">
            <v>NITRON GROUP LLC</v>
          </cell>
          <cell r="P1660">
            <v>270</v>
          </cell>
          <cell r="R1660" t="str">
            <v>CFR</v>
          </cell>
          <cell r="S1660">
            <v>340</v>
          </cell>
          <cell r="Y1660">
            <v>44495</v>
          </cell>
          <cell r="AF1660" t="str">
            <v>PAITA</v>
          </cell>
        </row>
        <row r="1661">
          <cell r="C1661" t="str">
            <v>MF-199B/21</v>
          </cell>
          <cell r="E1661" t="str">
            <v>SULFATO DE POTASIO SOLUBLE</v>
          </cell>
          <cell r="F1661" t="str">
            <v>NITRON GROUP LLC</v>
          </cell>
          <cell r="P1661">
            <v>270</v>
          </cell>
          <cell r="R1661" t="str">
            <v>CFR</v>
          </cell>
          <cell r="S1661">
            <v>340</v>
          </cell>
          <cell r="Y1661">
            <v>44506</v>
          </cell>
          <cell r="AF1661" t="str">
            <v>PAITA</v>
          </cell>
        </row>
        <row r="1662">
          <cell r="C1662" t="str">
            <v>MF-200/21</v>
          </cell>
          <cell r="E1662" t="str">
            <v>SULFATO DE POTASIO GRANULAR</v>
          </cell>
          <cell r="F1662" t="str">
            <v>NITRON GROUP LLC</v>
          </cell>
          <cell r="P1662">
            <v>4495</v>
          </cell>
          <cell r="R1662" t="str">
            <v>CFR</v>
          </cell>
          <cell r="S1662">
            <v>946</v>
          </cell>
          <cell r="Y1662">
            <v>44583</v>
          </cell>
          <cell r="AF1662" t="str">
            <v>SALAVERRY</v>
          </cell>
        </row>
        <row r="1663">
          <cell r="C1663" t="str">
            <v>MF-201A/21</v>
          </cell>
          <cell r="E1663" t="str">
            <v>SULFATO DE POTASIO GRANULAR</v>
          </cell>
          <cell r="F1663" t="str">
            <v>WEGROW AG</v>
          </cell>
          <cell r="P1663">
            <v>800</v>
          </cell>
          <cell r="R1663" t="str">
            <v>CFR</v>
          </cell>
          <cell r="S1663">
            <v>966</v>
          </cell>
          <cell r="Y1663">
            <v>44583</v>
          </cell>
          <cell r="AF1663" t="str">
            <v>SALAVERRY</v>
          </cell>
        </row>
        <row r="1664">
          <cell r="C1664" t="str">
            <v>MF-201B/21</v>
          </cell>
          <cell r="E1664" t="str">
            <v>NITRATO DE POTASIO CRISTALIZADO</v>
          </cell>
          <cell r="F1664" t="str">
            <v>WEGROW AG</v>
          </cell>
          <cell r="P1664">
            <v>600</v>
          </cell>
          <cell r="R1664" t="str">
            <v>CFR</v>
          </cell>
          <cell r="S1664">
            <v>966</v>
          </cell>
          <cell r="Y1664">
            <v>44585</v>
          </cell>
          <cell r="AF1664" t="str">
            <v>CALLAO</v>
          </cell>
        </row>
        <row r="1665">
          <cell r="C1665" t="str">
            <v>MF-202A/21</v>
          </cell>
          <cell r="E1665" t="str">
            <v>NITRATO DE POTASIO CRISTALIZADO</v>
          </cell>
          <cell r="F1665" t="str">
            <v>WEGROW AG</v>
          </cell>
          <cell r="P1665">
            <v>84</v>
          </cell>
          <cell r="R1665" t="str">
            <v>CPT</v>
          </cell>
          <cell r="S1665">
            <v>795</v>
          </cell>
          <cell r="Y1665">
            <v>44491</v>
          </cell>
          <cell r="AF1665" t="str">
            <v>MATARANI</v>
          </cell>
        </row>
        <row r="1666">
          <cell r="C1666" t="str">
            <v>MF-202B/21</v>
          </cell>
          <cell r="E1666" t="str">
            <v>NITRATO DE POTASIO CRISTALIZADO</v>
          </cell>
          <cell r="F1666" t="str">
            <v>WEGROW AG</v>
          </cell>
          <cell r="P1666">
            <v>140</v>
          </cell>
          <cell r="R1666" t="str">
            <v>CPT</v>
          </cell>
          <cell r="S1666">
            <v>795</v>
          </cell>
          <cell r="Y1666">
            <v>44498</v>
          </cell>
          <cell r="AF1666" t="str">
            <v>MATARANI</v>
          </cell>
        </row>
        <row r="1667">
          <cell r="C1667" t="str">
            <v>MF-202C/21</v>
          </cell>
          <cell r="E1667" t="str">
            <v>NITRATO DE POTASIO CRISTALIZADO</v>
          </cell>
          <cell r="F1667" t="str">
            <v>ACF BAQUEDANO S.A</v>
          </cell>
          <cell r="P1667">
            <v>84</v>
          </cell>
          <cell r="R1667" t="str">
            <v>CPT</v>
          </cell>
          <cell r="S1667">
            <v>795</v>
          </cell>
          <cell r="Y1667">
            <v>44497</v>
          </cell>
          <cell r="AF1667" t="str">
            <v>MATARANI</v>
          </cell>
        </row>
        <row r="1668">
          <cell r="C1668" t="str">
            <v>MF-202D/21</v>
          </cell>
          <cell r="E1668" t="str">
            <v>NITRATO DE POTASIO CRISTALIZADO</v>
          </cell>
          <cell r="F1668" t="str">
            <v>ACF BAQUEDANO S.A</v>
          </cell>
          <cell r="P1668">
            <v>140</v>
          </cell>
          <cell r="R1668" t="str">
            <v>CPT</v>
          </cell>
          <cell r="S1668">
            <v>795</v>
          </cell>
          <cell r="Y1668">
            <v>44508</v>
          </cell>
          <cell r="AF1668" t="str">
            <v>MATARANI</v>
          </cell>
        </row>
        <row r="1669">
          <cell r="C1669" t="str">
            <v>MF-202E/21</v>
          </cell>
          <cell r="E1669" t="str">
            <v>NITRATO DE POTASIO CRISTALIZADO</v>
          </cell>
          <cell r="F1669" t="str">
            <v>ACF BAQUEDANO S.A</v>
          </cell>
          <cell r="P1669">
            <v>84</v>
          </cell>
          <cell r="R1669" t="str">
            <v>CPT</v>
          </cell>
          <cell r="S1669">
            <v>795</v>
          </cell>
          <cell r="Y1669">
            <v>44505</v>
          </cell>
          <cell r="AF1669" t="str">
            <v>MATARANI</v>
          </cell>
        </row>
        <row r="1670">
          <cell r="C1670" t="str">
            <v>MF-202F/21</v>
          </cell>
          <cell r="E1670" t="str">
            <v>NITRATO DE POTASIO CRISTALIZADO</v>
          </cell>
          <cell r="F1670" t="str">
            <v>ACF BAQUEDANO S.A</v>
          </cell>
          <cell r="P1670">
            <v>196</v>
          </cell>
          <cell r="R1670" t="str">
            <v>CPT</v>
          </cell>
          <cell r="S1670">
            <v>795</v>
          </cell>
          <cell r="Y1670">
            <v>44515</v>
          </cell>
          <cell r="AF1670" t="str">
            <v>MATARANI</v>
          </cell>
        </row>
        <row r="1671">
          <cell r="C1671" t="str">
            <v>MF-202G/21</v>
          </cell>
          <cell r="E1671" t="str">
            <v>NITRATO DE POTASIO CRISTALIZADO</v>
          </cell>
          <cell r="F1671" t="str">
            <v>ACF BAQUEDANO S.A</v>
          </cell>
          <cell r="P1671">
            <v>196</v>
          </cell>
          <cell r="R1671" t="str">
            <v>CPT</v>
          </cell>
          <cell r="S1671">
            <v>795</v>
          </cell>
          <cell r="Y1671">
            <v>44522</v>
          </cell>
          <cell r="AF1671" t="str">
            <v>MATARANI</v>
          </cell>
        </row>
        <row r="1672">
          <cell r="C1672" t="str">
            <v>MF-202H/21</v>
          </cell>
          <cell r="E1672" t="str">
            <v>NITRATO DE POTASIO CRISTALIZADO</v>
          </cell>
          <cell r="F1672" t="str">
            <v>ACF BAQUEDANO S.A</v>
          </cell>
          <cell r="P1672">
            <v>196</v>
          </cell>
          <cell r="R1672" t="str">
            <v>CPT</v>
          </cell>
          <cell r="S1672">
            <v>795</v>
          </cell>
          <cell r="Y1672">
            <v>44529</v>
          </cell>
          <cell r="AF1672" t="str">
            <v>MATARANI</v>
          </cell>
        </row>
        <row r="1673">
          <cell r="C1673" t="str">
            <v>MF-202I/21</v>
          </cell>
          <cell r="E1673" t="str">
            <v>NITRATO DE POTASIO CRISTALIZADO</v>
          </cell>
          <cell r="F1673" t="str">
            <v>ACF BAQUEDANO S.A</v>
          </cell>
          <cell r="P1673">
            <v>196</v>
          </cell>
          <cell r="R1673" t="str">
            <v>CPT</v>
          </cell>
          <cell r="S1673">
            <v>795</v>
          </cell>
          <cell r="Y1673">
            <v>44536</v>
          </cell>
          <cell r="AF1673" t="str">
            <v>MATARANI</v>
          </cell>
        </row>
        <row r="1674">
          <cell r="C1674" t="str">
            <v>MF-202J/21</v>
          </cell>
          <cell r="E1674" t="str">
            <v>NITRATO DE POTASIO CRISTALIZADO</v>
          </cell>
          <cell r="F1674" t="str">
            <v>ACF BAQUEDANO S.A</v>
          </cell>
          <cell r="P1674">
            <v>196</v>
          </cell>
          <cell r="R1674" t="str">
            <v>CPT</v>
          </cell>
          <cell r="S1674">
            <v>795</v>
          </cell>
          <cell r="Y1674">
            <v>44543</v>
          </cell>
          <cell r="AF1674" t="str">
            <v>MATARANI</v>
          </cell>
        </row>
        <row r="1675">
          <cell r="C1675" t="str">
            <v>MF-202K/21</v>
          </cell>
          <cell r="E1675" t="str">
            <v>NITRATO DE POTASIO CRISTALIZADO</v>
          </cell>
          <cell r="F1675" t="str">
            <v>ACF BAQUEDANO S.A</v>
          </cell>
          <cell r="P1675">
            <v>196</v>
          </cell>
          <cell r="R1675" t="str">
            <v>CPT</v>
          </cell>
          <cell r="S1675">
            <v>795</v>
          </cell>
          <cell r="Y1675">
            <v>44550</v>
          </cell>
          <cell r="AF1675" t="str">
            <v>MATARANI</v>
          </cell>
        </row>
        <row r="1676">
          <cell r="C1676" t="str">
            <v>MF-202L/21</v>
          </cell>
          <cell r="E1676" t="str">
            <v>NITRATO DE POTASIO CRISTALIZADO</v>
          </cell>
          <cell r="F1676" t="str">
            <v>ACF BAQUEDANO S.A</v>
          </cell>
          <cell r="P1676">
            <v>196</v>
          </cell>
          <cell r="R1676" t="str">
            <v>CPT</v>
          </cell>
          <cell r="S1676">
            <v>795</v>
          </cell>
          <cell r="Y1676">
            <v>44557</v>
          </cell>
          <cell r="AF1676" t="str">
            <v>MATARANI</v>
          </cell>
        </row>
        <row r="1677">
          <cell r="C1677" t="str">
            <v>MF-202M/21</v>
          </cell>
          <cell r="E1677" t="str">
            <v>NITRATO DE POTASIO CRISTALIZADO</v>
          </cell>
          <cell r="F1677" t="str">
            <v>ACF BAQUEDANO S.A</v>
          </cell>
          <cell r="P1677">
            <v>196</v>
          </cell>
          <cell r="R1677" t="str">
            <v>CPT</v>
          </cell>
          <cell r="S1677">
            <v>795</v>
          </cell>
          <cell r="Y1677">
            <v>44564</v>
          </cell>
          <cell r="AF1677" t="str">
            <v>MATARANI</v>
          </cell>
        </row>
        <row r="1678">
          <cell r="C1678" t="str">
            <v>MF-202N/21</v>
          </cell>
          <cell r="E1678" t="str">
            <v>NITRATO DE POTASIO CRISTALIZADO</v>
          </cell>
          <cell r="F1678" t="str">
            <v>ACF BAQUEDANO S.A</v>
          </cell>
          <cell r="P1678">
            <v>196</v>
          </cell>
          <cell r="R1678" t="str">
            <v>CPT</v>
          </cell>
          <cell r="S1678">
            <v>795</v>
          </cell>
          <cell r="Y1678">
            <v>44571</v>
          </cell>
          <cell r="AF1678" t="str">
            <v>MATARANI</v>
          </cell>
        </row>
        <row r="1679">
          <cell r="C1679" t="str">
            <v>MF-202O/21</v>
          </cell>
          <cell r="E1679" t="str">
            <v>YARATERA CALCINIT X 25KG</v>
          </cell>
          <cell r="F1679" t="str">
            <v>ACF BAQUEDANO S.A</v>
          </cell>
          <cell r="P1679">
            <v>196</v>
          </cell>
          <cell r="R1679" t="str">
            <v>CPT</v>
          </cell>
          <cell r="S1679">
            <v>795</v>
          </cell>
          <cell r="Y1679">
            <v>44578</v>
          </cell>
          <cell r="AF1679" t="str">
            <v>MATARANI</v>
          </cell>
        </row>
        <row r="1680">
          <cell r="C1680" t="str">
            <v>MF-203/21</v>
          </cell>
          <cell r="E1680" t="str">
            <v>YARAMILA KABAL PLUS NPK 10-30-10 X50KG</v>
          </cell>
          <cell r="F1680" t="str">
            <v>ACF BAQUEDANO S.A</v>
          </cell>
          <cell r="P1680">
            <v>270</v>
          </cell>
          <cell r="R1680" t="str">
            <v>CFR</v>
          </cell>
          <cell r="S1680">
            <v>296.06</v>
          </cell>
          <cell r="Y1680">
            <v>44484</v>
          </cell>
          <cell r="AF1680" t="str">
            <v>CALLAO</v>
          </cell>
        </row>
        <row r="1681">
          <cell r="C1681" t="str">
            <v>MF-204A/21</v>
          </cell>
          <cell r="E1681" t="str">
            <v>YARAMILA KABAL PLUS NPK 10-30-10 X50KG</v>
          </cell>
          <cell r="F1681" t="str">
            <v>ACF BAQUEDANO S.A</v>
          </cell>
          <cell r="P1681">
            <v>198</v>
          </cell>
          <cell r="R1681" t="str">
            <v>CFR</v>
          </cell>
          <cell r="S1681">
            <v>706.23</v>
          </cell>
          <cell r="Y1681">
            <v>44495</v>
          </cell>
          <cell r="AF1681" t="str">
            <v>PAITA</v>
          </cell>
        </row>
        <row r="1682">
          <cell r="C1682" t="str">
            <v>MF-204B.1/21</v>
          </cell>
          <cell r="E1682" t="str">
            <v>YARAMILA KABAL PLUS NPK 10-30-10 X50KG</v>
          </cell>
          <cell r="F1682" t="str">
            <v>ACF BAQUEDANO S.A</v>
          </cell>
          <cell r="P1682">
            <v>110</v>
          </cell>
          <cell r="R1682" t="str">
            <v>CFR</v>
          </cell>
          <cell r="S1682">
            <v>708.73</v>
          </cell>
          <cell r="Y1682">
            <v>44504</v>
          </cell>
          <cell r="AF1682" t="str">
            <v>CALLAO</v>
          </cell>
        </row>
        <row r="1683">
          <cell r="C1683" t="str">
            <v>MF-204B.2/21</v>
          </cell>
          <cell r="E1683" t="str">
            <v>YARAMILA KABAL PLUS NPK 10-30-10 X50KG</v>
          </cell>
          <cell r="F1683" t="str">
            <v>ACF BAQUEDANO S.A</v>
          </cell>
          <cell r="P1683">
            <v>110</v>
          </cell>
          <cell r="R1683" t="str">
            <v>CFR</v>
          </cell>
          <cell r="S1683">
            <v>708.73</v>
          </cell>
          <cell r="Y1683">
            <v>44555</v>
          </cell>
          <cell r="AF1683" t="str">
            <v>CALLAO</v>
          </cell>
        </row>
        <row r="1684">
          <cell r="C1684" t="str">
            <v>MF-204C/21</v>
          </cell>
          <cell r="E1684" t="str">
            <v>YARAMILA KABAL PLUS NPK 10-30-10 X50KG</v>
          </cell>
          <cell r="F1684" t="str">
            <v>ACF BAQUEDANO S.A</v>
          </cell>
          <cell r="P1684">
            <v>616</v>
          </cell>
          <cell r="R1684" t="str">
            <v>CFR</v>
          </cell>
          <cell r="S1684">
            <v>723.41</v>
          </cell>
          <cell r="Y1684">
            <v>44519</v>
          </cell>
          <cell r="AF1684" t="str">
            <v>MATARANI</v>
          </cell>
        </row>
        <row r="1685">
          <cell r="C1685" t="str">
            <v>MF-204D/21</v>
          </cell>
          <cell r="E1685" t="str">
            <v>YARAMILA KABAL PLUS NPK 10-30-10 X50KG</v>
          </cell>
          <cell r="F1685" t="str">
            <v>ACF BAQUEDANO S.A</v>
          </cell>
          <cell r="P1685">
            <v>242</v>
          </cell>
          <cell r="R1685" t="str">
            <v>CFR</v>
          </cell>
          <cell r="S1685">
            <v>725</v>
          </cell>
          <cell r="Y1685">
            <v>44497</v>
          </cell>
          <cell r="AF1685" t="str">
            <v>MATARANI</v>
          </cell>
        </row>
        <row r="1686">
          <cell r="C1686" t="str">
            <v>MF-204E/21</v>
          </cell>
          <cell r="E1686" t="str">
            <v>YARAMILA KABAL PLUS NPK 10-30-10 X50KG</v>
          </cell>
          <cell r="F1686" t="str">
            <v>ACF BAQUEDANO S.A</v>
          </cell>
          <cell r="P1686">
            <v>264</v>
          </cell>
          <cell r="R1686" t="str">
            <v>CPT</v>
          </cell>
          <cell r="S1686">
            <v>725</v>
          </cell>
          <cell r="Y1686">
            <v>44513</v>
          </cell>
          <cell r="AF1686" t="str">
            <v>MATARANI</v>
          </cell>
        </row>
        <row r="1687">
          <cell r="C1687" t="str">
            <v>MF-205/21</v>
          </cell>
          <cell r="E1687" t="str">
            <v xml:space="preserve">SULFATO DE MAGNESIO HEPTAHIDRATADO </v>
          </cell>
          <cell r="F1687" t="str">
            <v>ACF BAQUEDANO S.A</v>
          </cell>
          <cell r="P1687">
            <v>1500</v>
          </cell>
          <cell r="R1687" t="str">
            <v>CFR</v>
          </cell>
          <cell r="S1687">
            <v>262</v>
          </cell>
          <cell r="Y1687">
            <v>44575</v>
          </cell>
          <cell r="AF1687" t="str">
            <v>CALLAO</v>
          </cell>
        </row>
        <row r="1688">
          <cell r="C1688" t="str">
            <v>MF-206A/21</v>
          </cell>
          <cell r="E1688" t="str">
            <v>NITRATO DE AMONIO</v>
          </cell>
          <cell r="F1688" t="str">
            <v>ACF BAQUEDANO S.A</v>
          </cell>
          <cell r="P1688">
            <v>2600</v>
          </cell>
          <cell r="R1688" t="str">
            <v>CFR</v>
          </cell>
          <cell r="S1688">
            <v>443.88</v>
          </cell>
          <cell r="Y1688">
            <v>44514</v>
          </cell>
          <cell r="AF1688" t="str">
            <v>SALAVERRY</v>
          </cell>
        </row>
        <row r="1689">
          <cell r="C1689" t="str">
            <v>MF-206B/21</v>
          </cell>
          <cell r="E1689" t="str">
            <v>NITRATO DE AMONIO</v>
          </cell>
          <cell r="F1689" t="str">
            <v>YARA PERÚ SRL</v>
          </cell>
          <cell r="P1689">
            <v>2200</v>
          </cell>
          <cell r="R1689" t="str">
            <v>CFR</v>
          </cell>
          <cell r="S1689">
            <v>443.88</v>
          </cell>
          <cell r="Y1689">
            <v>44516</v>
          </cell>
          <cell r="AF1689" t="str">
            <v>CALLAO</v>
          </cell>
        </row>
        <row r="1690">
          <cell r="C1690" t="str">
            <v>MF-206C/21</v>
          </cell>
          <cell r="E1690" t="str">
            <v>NITRATO DE AMONIO</v>
          </cell>
          <cell r="F1690" t="str">
            <v>YARA PERÚ SRL</v>
          </cell>
          <cell r="P1690">
            <v>1500</v>
          </cell>
          <cell r="R1690" t="str">
            <v>CFR</v>
          </cell>
          <cell r="S1690">
            <v>443.88</v>
          </cell>
          <cell r="Y1690">
            <v>44519</v>
          </cell>
          <cell r="AF1690" t="str">
            <v>MATARANI</v>
          </cell>
        </row>
        <row r="1691">
          <cell r="C1691" t="str">
            <v>MF-207A/21</v>
          </cell>
          <cell r="E1691" t="str">
            <v>CLORURO DE POTASIO BLANCO ESTANDAR</v>
          </cell>
          <cell r="F1691" t="str">
            <v>YARA PERÚ SRL</v>
          </cell>
          <cell r="P1691">
            <v>1800</v>
          </cell>
          <cell r="R1691" t="str">
            <v>CFR</v>
          </cell>
          <cell r="S1691">
            <v>700</v>
          </cell>
          <cell r="Y1691">
            <v>44514</v>
          </cell>
          <cell r="AF1691" t="str">
            <v>SALAVERRY</v>
          </cell>
        </row>
        <row r="1692">
          <cell r="C1692" t="str">
            <v>MF-207B/21</v>
          </cell>
          <cell r="E1692" t="str">
            <v>CLORURO DE POTASIO BLANCO ESTANDAR</v>
          </cell>
          <cell r="F1692" t="str">
            <v>YARA PERÚ SRL</v>
          </cell>
          <cell r="P1692">
            <v>540</v>
          </cell>
          <cell r="R1692" t="str">
            <v>CFR</v>
          </cell>
          <cell r="S1692">
            <v>700</v>
          </cell>
          <cell r="Y1692">
            <v>44516</v>
          </cell>
          <cell r="AF1692" t="str">
            <v>CALLAO</v>
          </cell>
        </row>
        <row r="1693">
          <cell r="C1693" t="str">
            <v>MF-207C/21</v>
          </cell>
          <cell r="E1693" t="str">
            <v>CLORURO DE POTASIO BLANCO ESTANDAR</v>
          </cell>
          <cell r="F1693" t="str">
            <v>YARA PERÚ SRL</v>
          </cell>
          <cell r="P1693">
            <v>200</v>
          </cell>
          <cell r="R1693" t="str">
            <v>CFR</v>
          </cell>
          <cell r="S1693">
            <v>700</v>
          </cell>
          <cell r="Y1693">
            <v>44519</v>
          </cell>
          <cell r="AF1693" t="str">
            <v>MATARANI</v>
          </cell>
        </row>
        <row r="1694">
          <cell r="C1694" t="str">
            <v>MF-208A/21</v>
          </cell>
          <cell r="E1694" t="str">
            <v>UREA PERLADA</v>
          </cell>
          <cell r="F1694" t="str">
            <v>YARA PERÚ SRL</v>
          </cell>
          <cell r="P1694">
            <v>900</v>
          </cell>
          <cell r="R1694" t="str">
            <v>CFR</v>
          </cell>
          <cell r="S1694">
            <v>573.24</v>
          </cell>
          <cell r="Y1694">
            <v>44514</v>
          </cell>
          <cell r="AF1694" t="str">
            <v>SALAVERRY</v>
          </cell>
        </row>
        <row r="1695">
          <cell r="C1695" t="str">
            <v>MF-208B/21</v>
          </cell>
          <cell r="E1695" t="str">
            <v>UREA PERLADA</v>
          </cell>
          <cell r="F1695" t="str">
            <v>YARA PERÚ SRL</v>
          </cell>
          <cell r="P1695">
            <v>1000</v>
          </cell>
          <cell r="R1695" t="str">
            <v>CFR</v>
          </cell>
          <cell r="S1695">
            <v>573.24</v>
          </cell>
          <cell r="Y1695">
            <v>44516</v>
          </cell>
          <cell r="AF1695" t="str">
            <v>CALLAO</v>
          </cell>
        </row>
        <row r="1696">
          <cell r="C1696" t="str">
            <v>MF-208C/21</v>
          </cell>
          <cell r="E1696" t="str">
            <v>UREA PERLADA</v>
          </cell>
          <cell r="F1696" t="str">
            <v>STAR GRACE MINING CO.,LTD</v>
          </cell>
          <cell r="P1696">
            <v>800</v>
          </cell>
          <cell r="R1696" t="str">
            <v>CFR</v>
          </cell>
          <cell r="S1696">
            <v>573.24</v>
          </cell>
          <cell r="Y1696">
            <v>44519</v>
          </cell>
          <cell r="AF1696" t="str">
            <v>MATARANI</v>
          </cell>
        </row>
        <row r="1697">
          <cell r="C1697" t="str">
            <v>MF-209/21</v>
          </cell>
          <cell r="E1697" t="str">
            <v>SULFATO DE POTASIO SOLUBLE</v>
          </cell>
          <cell r="F1697" t="str">
            <v>URALCHEM (MITSUI)</v>
          </cell>
          <cell r="P1697">
            <v>0</v>
          </cell>
          <cell r="R1697">
            <v>0</v>
          </cell>
          <cell r="S1697">
            <v>0</v>
          </cell>
          <cell r="Y1697">
            <v>0</v>
          </cell>
          <cell r="AF1697">
            <v>0</v>
          </cell>
        </row>
        <row r="1698">
          <cell r="C1698" t="str">
            <v>MF-210A/21</v>
          </cell>
          <cell r="E1698" t="str">
            <v xml:space="preserve">SULFATO DE MAGNESIO HEPTAHIDRATADO </v>
          </cell>
          <cell r="F1698" t="str">
            <v>URALCHEM (MITSUI)</v>
          </cell>
          <cell r="P1698">
            <v>1000</v>
          </cell>
          <cell r="R1698" t="str">
            <v>CFR</v>
          </cell>
          <cell r="S1698">
            <v>269</v>
          </cell>
          <cell r="Y1698">
            <v>44540</v>
          </cell>
          <cell r="AF1698" t="str">
            <v>PAITA</v>
          </cell>
        </row>
        <row r="1699">
          <cell r="C1699" t="str">
            <v>MF-210B/21</v>
          </cell>
          <cell r="E1699" t="str">
            <v xml:space="preserve">SULFATO DE MAGNESIO HEPTAHIDRATADO </v>
          </cell>
          <cell r="F1699" t="str">
            <v>URALCHEM (MITSUI)</v>
          </cell>
          <cell r="P1699">
            <v>1000</v>
          </cell>
          <cell r="R1699" t="str">
            <v>CFR</v>
          </cell>
          <cell r="S1699">
            <v>269</v>
          </cell>
          <cell r="Y1699">
            <v>44542</v>
          </cell>
          <cell r="AF1699" t="str">
            <v>SALAVERRY</v>
          </cell>
        </row>
        <row r="1700">
          <cell r="C1700" t="str">
            <v>MF-211/21</v>
          </cell>
          <cell r="E1700" t="str">
            <v>SAL DOBLE DE NITRATO DE CALCIO Y AMONIO</v>
          </cell>
          <cell r="F1700" t="str">
            <v>URALKALI</v>
          </cell>
          <cell r="P1700">
            <v>0</v>
          </cell>
          <cell r="R1700">
            <v>0</v>
          </cell>
          <cell r="S1700">
            <v>0</v>
          </cell>
          <cell r="Y1700">
            <v>0</v>
          </cell>
          <cell r="AF1700">
            <v>0</v>
          </cell>
        </row>
        <row r="1701">
          <cell r="C1701" t="str">
            <v>MF-212/21</v>
          </cell>
          <cell r="E1701" t="str">
            <v>FOSFATO MONOAMÓNICO CRISTALIZADO</v>
          </cell>
          <cell r="F1701" t="str">
            <v>URALKALI</v>
          </cell>
          <cell r="P1701">
            <v>0</v>
          </cell>
          <cell r="R1701">
            <v>0</v>
          </cell>
          <cell r="S1701">
            <v>0</v>
          </cell>
          <cell r="Y1701">
            <v>0</v>
          </cell>
          <cell r="AF1701">
            <v>0</v>
          </cell>
        </row>
        <row r="1702">
          <cell r="C1702" t="str">
            <v>MF-213A/21</v>
          </cell>
          <cell r="E1702" t="str">
            <v>POLISULFATO GRANULADO</v>
          </cell>
          <cell r="F1702" t="str">
            <v>URALKALI</v>
          </cell>
          <cell r="P1702">
            <v>277.3</v>
          </cell>
          <cell r="R1702" t="str">
            <v>CFR</v>
          </cell>
          <cell r="S1702">
            <v>269.83</v>
          </cell>
          <cell r="Y1702">
            <v>44529</v>
          </cell>
          <cell r="AF1702" t="str">
            <v>CALLAO</v>
          </cell>
        </row>
        <row r="1703">
          <cell r="C1703" t="str">
            <v>MF-213B/21</v>
          </cell>
          <cell r="E1703" t="str">
            <v>POLISULFATO GRANULADO</v>
          </cell>
          <cell r="F1703" t="str">
            <v>URALCHEM (MITSUI)</v>
          </cell>
          <cell r="P1703">
            <v>219.96</v>
          </cell>
          <cell r="R1703" t="str">
            <v>CFR</v>
          </cell>
          <cell r="S1703">
            <v>281.07</v>
          </cell>
          <cell r="Y1703">
            <v>44526</v>
          </cell>
          <cell r="AF1703" t="str">
            <v>PAITA</v>
          </cell>
        </row>
        <row r="1704">
          <cell r="C1704" t="str">
            <v>MF-214A/21</v>
          </cell>
          <cell r="E1704" t="str">
            <v>PEKACID</v>
          </cell>
          <cell r="F1704" t="str">
            <v>URALCHEM (MITSUI)</v>
          </cell>
          <cell r="P1704">
            <v>49</v>
          </cell>
          <cell r="R1704" t="str">
            <v>CIF</v>
          </cell>
          <cell r="S1704">
            <v>2100</v>
          </cell>
          <cell r="Y1704">
            <v>44556</v>
          </cell>
          <cell r="AF1704" t="str">
            <v>CALLAO</v>
          </cell>
        </row>
        <row r="1705">
          <cell r="C1705" t="str">
            <v>MF-214B/21</v>
          </cell>
          <cell r="E1705" t="str">
            <v>PEKACID</v>
          </cell>
          <cell r="F1705" t="str">
            <v>URALCHEM (MITSUI)</v>
          </cell>
          <cell r="P1705">
            <v>49</v>
          </cell>
          <cell r="R1705" t="str">
            <v>CIF</v>
          </cell>
          <cell r="S1705">
            <v>2100</v>
          </cell>
          <cell r="Y1705">
            <v>44578</v>
          </cell>
          <cell r="AF1705" t="str">
            <v>CALLAO</v>
          </cell>
        </row>
        <row r="1706">
          <cell r="C1706" t="str">
            <v>MF-215/21</v>
          </cell>
          <cell r="E1706" t="str">
            <v>VALUCID PK</v>
          </cell>
          <cell r="F1706" t="str">
            <v xml:space="preserve">TGO Agriculture (USA) Inc. </v>
          </cell>
          <cell r="P1706">
            <v>32.5</v>
          </cell>
          <cell r="R1706" t="str">
            <v>CFR</v>
          </cell>
          <cell r="S1706">
            <v>2060</v>
          </cell>
          <cell r="Y1706">
            <v>44580</v>
          </cell>
          <cell r="AF1706" t="str">
            <v>CALLAO</v>
          </cell>
        </row>
        <row r="1707">
          <cell r="C1707" t="str">
            <v>MF-216A/21</v>
          </cell>
          <cell r="E1707" t="str">
            <v>YARATERA CALCINIT X 25KG</v>
          </cell>
          <cell r="F1707" t="str">
            <v xml:space="preserve">TGO Agriculture (USA) Inc. </v>
          </cell>
          <cell r="P1707">
            <v>540</v>
          </cell>
          <cell r="R1707" t="str">
            <v>CFR</v>
          </cell>
          <cell r="S1707">
            <v>296.06</v>
          </cell>
          <cell r="Y1707">
            <v>44488</v>
          </cell>
          <cell r="AF1707" t="str">
            <v>PAITA</v>
          </cell>
        </row>
        <row r="1708">
          <cell r="C1708" t="str">
            <v>MF-216B/21</v>
          </cell>
          <cell r="E1708" t="str">
            <v>YARATERA CALCINIT X 25KG</v>
          </cell>
          <cell r="F1708" t="str">
            <v xml:space="preserve">TGO Agriculture (USA) Inc. </v>
          </cell>
          <cell r="P1708">
            <v>168</v>
          </cell>
          <cell r="R1708" t="str">
            <v>CFR</v>
          </cell>
          <cell r="S1708">
            <v>296.06</v>
          </cell>
          <cell r="Y1708">
            <v>44570</v>
          </cell>
          <cell r="AF1708" t="str">
            <v>CALLAO</v>
          </cell>
        </row>
        <row r="1709">
          <cell r="C1709" t="str">
            <v>MF-217/21</v>
          </cell>
          <cell r="E1709" t="str">
            <v>YARATERA CALCINIT X 25KG</v>
          </cell>
          <cell r="F1709" t="str">
            <v xml:space="preserve">TGO Agriculture (USA) Inc. </v>
          </cell>
          <cell r="P1709">
            <v>270</v>
          </cell>
          <cell r="R1709" t="str">
            <v>CFR</v>
          </cell>
          <cell r="S1709">
            <v>296.06</v>
          </cell>
          <cell r="Y1709">
            <v>44482</v>
          </cell>
          <cell r="AF1709" t="str">
            <v>PAITA</v>
          </cell>
        </row>
        <row r="1710">
          <cell r="C1710" t="str">
            <v>MF-218/21</v>
          </cell>
          <cell r="E1710" t="str">
            <v>UREA FOSFATADA X 25KG</v>
          </cell>
          <cell r="F1710" t="str">
            <v xml:space="preserve">TGO Agriculture (USA) Inc. </v>
          </cell>
          <cell r="P1710">
            <v>100</v>
          </cell>
          <cell r="R1710" t="str">
            <v>CFR</v>
          </cell>
          <cell r="S1710">
            <v>1048</v>
          </cell>
          <cell r="Y1710">
            <v>44577</v>
          </cell>
          <cell r="AF1710" t="str">
            <v>CALLAO</v>
          </cell>
        </row>
        <row r="1711">
          <cell r="C1711" t="str">
            <v>MF-219A/21</v>
          </cell>
          <cell r="E1711" t="str">
            <v>POLISULFATO GRANULADO</v>
          </cell>
          <cell r="F1711" t="str">
            <v xml:space="preserve">TGO Agriculture (USA) Inc. </v>
          </cell>
          <cell r="P1711">
            <v>400</v>
          </cell>
          <cell r="R1711" t="str">
            <v>FCA</v>
          </cell>
          <cell r="S1711">
            <v>207</v>
          </cell>
          <cell r="Y1711">
            <v>44555</v>
          </cell>
          <cell r="AF1711" t="str">
            <v>CALLAO</v>
          </cell>
        </row>
        <row r="1712">
          <cell r="C1712" t="str">
            <v>MF-219B/21</v>
          </cell>
          <cell r="E1712" t="str">
            <v>POLISULFATO GRANULADO</v>
          </cell>
          <cell r="F1712" t="str">
            <v>ICL EUROPE COOPERATIEF U.A.</v>
          </cell>
          <cell r="P1712">
            <v>200</v>
          </cell>
          <cell r="R1712" t="str">
            <v>FCA</v>
          </cell>
          <cell r="S1712">
            <v>207</v>
          </cell>
          <cell r="Y1712">
            <v>44555</v>
          </cell>
          <cell r="AF1712" t="str">
            <v>PAITA</v>
          </cell>
        </row>
        <row r="1713">
          <cell r="C1713" t="str">
            <v>MF-220A/21</v>
          </cell>
          <cell r="E1713" t="str">
            <v>YARATERA CALCINIT X 25KG</v>
          </cell>
          <cell r="F1713" t="str">
            <v>ICL EUROPE COOPERATIEF U.A.</v>
          </cell>
          <cell r="P1713">
            <v>135</v>
          </cell>
          <cell r="R1713" t="str">
            <v>CFR</v>
          </cell>
          <cell r="S1713">
            <v>296.06</v>
          </cell>
          <cell r="Y1713">
            <v>44497</v>
          </cell>
          <cell r="AF1713" t="str">
            <v>MATARANI</v>
          </cell>
        </row>
        <row r="1714">
          <cell r="C1714" t="str">
            <v>MF-220B/21</v>
          </cell>
          <cell r="E1714" t="str">
            <v>YARATERA CALCINIT X 25KG</v>
          </cell>
          <cell r="F1714" t="str">
            <v>ICL EUROPE COOPERATIEF U.A.</v>
          </cell>
          <cell r="P1714">
            <v>324</v>
          </cell>
          <cell r="R1714" t="str">
            <v>CFR</v>
          </cell>
          <cell r="S1714">
            <v>296.06</v>
          </cell>
          <cell r="Y1714">
            <v>44555</v>
          </cell>
          <cell r="AF1714" t="str">
            <v>MATARANI</v>
          </cell>
        </row>
        <row r="1715">
          <cell r="C1715" t="str">
            <v>MF-221/21</v>
          </cell>
          <cell r="E1715" t="str">
            <v>YARATERA CALCINIT X 25KG</v>
          </cell>
          <cell r="F1715" t="str">
            <v>ICL EUROPE COOPERATIEF U.A.</v>
          </cell>
          <cell r="P1715">
            <v>243</v>
          </cell>
          <cell r="R1715" t="str">
            <v>CFR</v>
          </cell>
          <cell r="S1715">
            <v>296.06</v>
          </cell>
          <cell r="Y1715">
            <v>44490</v>
          </cell>
          <cell r="AF1715" t="str">
            <v>CALLAO</v>
          </cell>
        </row>
        <row r="1716">
          <cell r="C1716" t="str">
            <v>MF-222/21</v>
          </cell>
          <cell r="E1716" t="str">
            <v>REPUESTOS</v>
          </cell>
          <cell r="F1716" t="str">
            <v>VALUDOR Products LLC</v>
          </cell>
          <cell r="P1716">
            <v>9325</v>
          </cell>
          <cell r="R1716" t="str">
            <v>DAP</v>
          </cell>
          <cell r="S1716">
            <v>4.6020066229414303</v>
          </cell>
          <cell r="Y1716">
            <v>44484</v>
          </cell>
          <cell r="AF1716" t="str">
            <v>CALLAO</v>
          </cell>
        </row>
        <row r="1717">
          <cell r="C1717" t="str">
            <v>MF-223/21</v>
          </cell>
          <cell r="E1717" t="str">
            <v>YARATERA CALCINIT X 25KG</v>
          </cell>
          <cell r="F1717" t="str">
            <v>YARA PERÚ SRL</v>
          </cell>
          <cell r="P1717">
            <v>270</v>
          </cell>
          <cell r="R1717" t="str">
            <v>CFR</v>
          </cell>
          <cell r="S1717">
            <v>296.06</v>
          </cell>
          <cell r="Y1717">
            <v>44495</v>
          </cell>
          <cell r="AF1717" t="str">
            <v>PAITA</v>
          </cell>
        </row>
        <row r="1718">
          <cell r="C1718" t="str">
            <v>MF-224/21</v>
          </cell>
          <cell r="E1718" t="str">
            <v>YARATERA CALCINIT X 25KG</v>
          </cell>
          <cell r="F1718" t="str">
            <v>YARA PERÚ SRL</v>
          </cell>
          <cell r="P1718">
            <v>270</v>
          </cell>
          <cell r="R1718" t="str">
            <v>CFR</v>
          </cell>
          <cell r="S1718">
            <v>296.06</v>
          </cell>
          <cell r="Y1718">
            <v>44497</v>
          </cell>
          <cell r="AF1718" t="str">
            <v>CALLAO</v>
          </cell>
        </row>
        <row r="1719">
          <cell r="C1719" t="str">
            <v>MF-225/21</v>
          </cell>
          <cell r="E1719" t="str">
            <v>SULFATO DE POTASIO SOLUBLE</v>
          </cell>
          <cell r="F1719" t="str">
            <v>YARA PERÚ SRL</v>
          </cell>
          <cell r="P1719">
            <v>2500</v>
          </cell>
          <cell r="R1719" t="str">
            <v>CFR</v>
          </cell>
          <cell r="S1719">
            <v>999</v>
          </cell>
          <cell r="Y1719">
            <v>44583</v>
          </cell>
          <cell r="AF1719" t="str">
            <v>SALAVERRY</v>
          </cell>
        </row>
        <row r="1720">
          <cell r="C1720" t="str">
            <v>MUESTRA 3/21</v>
          </cell>
          <cell r="E1720" t="str">
            <v>UREA (MUESTRA)</v>
          </cell>
          <cell r="F1720" t="str">
            <v>WEGROW AG</v>
          </cell>
          <cell r="P1720">
            <v>0.5</v>
          </cell>
          <cell r="R1720" t="str">
            <v>-</v>
          </cell>
          <cell r="S1720">
            <v>4.6020066229414303</v>
          </cell>
          <cell r="Y1720">
            <v>44484</v>
          </cell>
          <cell r="AF1720" t="str">
            <v>CALLAO</v>
          </cell>
        </row>
        <row r="1721">
          <cell r="C1721" t="str">
            <v>MF-227/21</v>
          </cell>
          <cell r="E1721" t="str">
            <v>ÁCIDO FOSFÓRICO</v>
          </cell>
          <cell r="F1721" t="str">
            <v>ICL EUROPE COOPERATIEF U.A.</v>
          </cell>
          <cell r="P1721">
            <v>312</v>
          </cell>
          <cell r="R1721" t="str">
            <v>CFR</v>
          </cell>
          <cell r="S1721">
            <v>1826</v>
          </cell>
          <cell r="Y1721">
            <v>44606</v>
          </cell>
          <cell r="AF1721" t="str">
            <v>PAITA</v>
          </cell>
        </row>
        <row r="1722">
          <cell r="C1722" t="str">
            <v>MF-228/21</v>
          </cell>
          <cell r="E1722" t="str">
            <v>YARALIVA NITRABOR A GRANEL</v>
          </cell>
          <cell r="F1722" t="str">
            <v>ICL EUROPE COOPERATIEF U.A.</v>
          </cell>
          <cell r="P1722">
            <v>135</v>
          </cell>
          <cell r="R1722" t="str">
            <v>CFR</v>
          </cell>
          <cell r="S1722">
            <v>341</v>
          </cell>
          <cell r="Y1722">
            <v>44570</v>
          </cell>
          <cell r="AF1722" t="str">
            <v>MATARANI</v>
          </cell>
        </row>
        <row r="1723">
          <cell r="C1723" t="str">
            <v>MF-229/21</v>
          </cell>
          <cell r="E1723" t="str">
            <v>YARALIVA NITRABOR A GRANEL</v>
          </cell>
          <cell r="F1723" t="str">
            <v>ICL EUROPE COOPERATIEF U.A.</v>
          </cell>
          <cell r="P1723">
            <v>27</v>
          </cell>
          <cell r="R1723" t="str">
            <v>CFR</v>
          </cell>
          <cell r="S1723">
            <v>0</v>
          </cell>
          <cell r="Y1723">
            <v>44570</v>
          </cell>
          <cell r="AF1723" t="str">
            <v>CALLAO</v>
          </cell>
        </row>
        <row r="1724">
          <cell r="C1724" t="str">
            <v>MF-230/21</v>
          </cell>
          <cell r="E1724" t="str">
            <v>YARALIVA NITRABOR A GRANEL</v>
          </cell>
          <cell r="F1724" t="str">
            <v>ICL EUROPE COOPERATIEF U.A.</v>
          </cell>
          <cell r="P1724">
            <v>108</v>
          </cell>
          <cell r="R1724" t="str">
            <v>CFR</v>
          </cell>
          <cell r="S1724">
            <v>0</v>
          </cell>
          <cell r="Y1724">
            <v>44570</v>
          </cell>
          <cell r="AF1724" t="str">
            <v>PAITA</v>
          </cell>
        </row>
        <row r="1725">
          <cell r="C1725" t="str">
            <v>MF-231/21</v>
          </cell>
          <cell r="E1725" t="str">
            <v>YARATERA CALCINIT X 25KG</v>
          </cell>
          <cell r="F1725" t="str">
            <v>YARA PERÚ SRL</v>
          </cell>
          <cell r="P1725">
            <v>351</v>
          </cell>
          <cell r="R1725" t="str">
            <v>CFR</v>
          </cell>
          <cell r="S1725">
            <v>296.06</v>
          </cell>
          <cell r="Y1725">
            <v>44570</v>
          </cell>
          <cell r="AF1725" t="str">
            <v>CALLAO</v>
          </cell>
        </row>
        <row r="1726">
          <cell r="C1726" t="str">
            <v>MF-232/21</v>
          </cell>
          <cell r="E1726" t="str">
            <v>YARATERA CALCINIT X 25KG</v>
          </cell>
          <cell r="F1726" t="str">
            <v>YARA PERÚ SRL</v>
          </cell>
          <cell r="P1726">
            <v>270</v>
          </cell>
          <cell r="R1726" t="str">
            <v>CFR</v>
          </cell>
          <cell r="S1726">
            <v>296.06</v>
          </cell>
          <cell r="Y1726">
            <v>44503</v>
          </cell>
          <cell r="AF1726" t="str">
            <v>PAITA</v>
          </cell>
        </row>
        <row r="1727">
          <cell r="C1727" t="str">
            <v>MF-233/21</v>
          </cell>
          <cell r="E1727" t="str">
            <v>YARATERA CALCINIT X 25KG</v>
          </cell>
          <cell r="F1727" t="str">
            <v>YARA PERÚ SRL</v>
          </cell>
          <cell r="P1727">
            <v>552</v>
          </cell>
          <cell r="R1727" t="str">
            <v>CFR</v>
          </cell>
          <cell r="S1727">
            <v>296.06</v>
          </cell>
          <cell r="Y1727">
            <v>44555</v>
          </cell>
          <cell r="AF1727" t="str">
            <v>PAITA</v>
          </cell>
        </row>
        <row r="1728">
          <cell r="C1728" t="str">
            <v>MF-234/21</v>
          </cell>
          <cell r="E1728" t="str">
            <v>YARATERA CALCINIT X 25KG</v>
          </cell>
          <cell r="F1728" t="str">
            <v>SAUR EQUIPAMENTOS S.A.</v>
          </cell>
          <cell r="P1728">
            <v>540</v>
          </cell>
          <cell r="R1728" t="str">
            <v>CFR</v>
          </cell>
          <cell r="S1728">
            <v>296.06</v>
          </cell>
          <cell r="Y1728">
            <v>44555</v>
          </cell>
          <cell r="AF1728" t="str">
            <v>PAITA</v>
          </cell>
        </row>
        <row r="1729">
          <cell r="C1729" t="str">
            <v>MF-235/21</v>
          </cell>
          <cell r="E1729" t="str">
            <v>YARATERA CALCINIT X 25KG</v>
          </cell>
          <cell r="F1729" t="str">
            <v>YARA PERÚ SRL</v>
          </cell>
          <cell r="P1729">
            <v>567</v>
          </cell>
          <cell r="R1729" t="str">
            <v>CFR</v>
          </cell>
          <cell r="S1729">
            <v>296.06</v>
          </cell>
          <cell r="Y1729">
            <v>44555</v>
          </cell>
          <cell r="AF1729" t="str">
            <v>PAITA</v>
          </cell>
        </row>
        <row r="1730">
          <cell r="C1730" t="str">
            <v>MF-236/21</v>
          </cell>
          <cell r="E1730" t="str">
            <v>YARATERA CALCINIT X 25KG</v>
          </cell>
          <cell r="F1730" t="str">
            <v>YARA PERÚ SRL</v>
          </cell>
          <cell r="P1730">
            <v>540</v>
          </cell>
          <cell r="R1730" t="str">
            <v>CFR</v>
          </cell>
          <cell r="S1730">
            <v>296.06</v>
          </cell>
          <cell r="Y1730">
            <v>44555</v>
          </cell>
          <cell r="AF1730" t="str">
            <v>PAITA</v>
          </cell>
        </row>
        <row r="1731">
          <cell r="C1731" t="str">
            <v>MF-237/21</v>
          </cell>
          <cell r="E1731" t="str">
            <v>SULFATO DE MAGNESIO MONOHIDRATADO GRANULAR (KIESERITA)</v>
          </cell>
          <cell r="F1731" t="str">
            <v>WEGROW AG</v>
          </cell>
          <cell r="P1731">
            <v>400</v>
          </cell>
          <cell r="R1731" t="str">
            <v>CFR</v>
          </cell>
          <cell r="S1731">
            <v>339</v>
          </cell>
          <cell r="Y1731">
            <v>44580</v>
          </cell>
          <cell r="AF1731" t="str">
            <v>CALLAO</v>
          </cell>
        </row>
        <row r="1732">
          <cell r="C1732" t="str">
            <v>MF-238/21</v>
          </cell>
          <cell r="E1732" t="str">
            <v xml:space="preserve">SULFATO DE MAGNESIO HEPTAHIDRATADO </v>
          </cell>
          <cell r="F1732" t="str">
            <v>NPK SOLUCIONES PARA EL AGRO Y LA INDUSTRIA S.A. DE C.V. (MÉXICO)</v>
          </cell>
          <cell r="P1732">
            <v>1700</v>
          </cell>
          <cell r="R1732" t="str">
            <v>CFR</v>
          </cell>
          <cell r="S1732">
            <v>313</v>
          </cell>
          <cell r="Y1732">
            <v>44602</v>
          </cell>
          <cell r="AF1732" t="str">
            <v>CALLAO</v>
          </cell>
        </row>
        <row r="1733">
          <cell r="C1733" t="str">
            <v>MF-239/21</v>
          </cell>
          <cell r="E1733">
            <v>0</v>
          </cell>
          <cell r="F1733" t="str">
            <v>NITRON GROUP LLC</v>
          </cell>
          <cell r="P1733">
            <v>1500</v>
          </cell>
          <cell r="R1733" t="str">
            <v>CFR</v>
          </cell>
          <cell r="S1733">
            <v>920</v>
          </cell>
          <cell r="Y1733">
            <v>44542</v>
          </cell>
          <cell r="AF1733" t="str">
            <v>PAITA</v>
          </cell>
        </row>
        <row r="1734">
          <cell r="C1734" t="str">
            <v>MF-240/21</v>
          </cell>
          <cell r="E1734">
            <v>0</v>
          </cell>
          <cell r="F1734" t="str">
            <v>YARA PERÚ SRL</v>
          </cell>
          <cell r="P1734">
            <v>1500</v>
          </cell>
          <cell r="R1734" t="str">
            <v>CFR</v>
          </cell>
          <cell r="S1734">
            <v>925</v>
          </cell>
          <cell r="Y1734">
            <v>44542</v>
          </cell>
          <cell r="AF1734" t="str">
            <v>PAITA</v>
          </cell>
        </row>
        <row r="1735">
          <cell r="C1735" t="str">
            <v>MF-241/21</v>
          </cell>
          <cell r="E1735">
            <v>0</v>
          </cell>
          <cell r="F1735" t="str">
            <v>YARA PERÚ SRL</v>
          </cell>
          <cell r="P1735">
            <v>11100</v>
          </cell>
          <cell r="R1735" t="str">
            <v>CFR</v>
          </cell>
          <cell r="S1735">
            <v>760</v>
          </cell>
          <cell r="Y1735">
            <v>0</v>
          </cell>
          <cell r="AF1735">
            <v>0</v>
          </cell>
        </row>
        <row r="1736">
          <cell r="C1736" t="str">
            <v>MF-242/21</v>
          </cell>
          <cell r="F1736" t="str">
            <v>YARA PERÚ SRL</v>
          </cell>
          <cell r="P1736">
            <v>180</v>
          </cell>
          <cell r="R1736" t="str">
            <v>CFR</v>
          </cell>
          <cell r="S1736">
            <v>791</v>
          </cell>
          <cell r="Y1736">
            <v>0</v>
          </cell>
          <cell r="AF1736" t="str">
            <v>CALLAO</v>
          </cell>
        </row>
        <row r="1737">
          <cell r="C1737" t="str">
            <v>MF-243/21</v>
          </cell>
          <cell r="F1737" t="str">
            <v>YARA PERÚ SRL</v>
          </cell>
          <cell r="P1737">
            <v>220</v>
          </cell>
          <cell r="R1737" t="str">
            <v>CFR</v>
          </cell>
          <cell r="S1737">
            <v>806</v>
          </cell>
          <cell r="Y1737">
            <v>0</v>
          </cell>
          <cell r="AF1737" t="str">
            <v>MATARANI</v>
          </cell>
        </row>
        <row r="1738">
          <cell r="C1738" t="str">
            <v>MF-244/21</v>
          </cell>
          <cell r="F1738" t="str">
            <v>YARA PERÚ SRL</v>
          </cell>
          <cell r="P1738">
            <v>6000</v>
          </cell>
          <cell r="R1738" t="str">
            <v>CFR</v>
          </cell>
          <cell r="S1738">
            <v>0</v>
          </cell>
          <cell r="Y1738">
            <v>0</v>
          </cell>
          <cell r="AF1738">
            <v>0</v>
          </cell>
        </row>
        <row r="1739">
          <cell r="C1739" t="str">
            <v>MF-245/21</v>
          </cell>
          <cell r="F1739" t="str">
            <v>YARA PERÚ SRL</v>
          </cell>
          <cell r="P1739">
            <v>5500</v>
          </cell>
          <cell r="R1739" t="str">
            <v>CFR</v>
          </cell>
          <cell r="S1739">
            <v>0</v>
          </cell>
          <cell r="Y1739">
            <v>0</v>
          </cell>
          <cell r="AF1739">
            <v>0</v>
          </cell>
        </row>
        <row r="1740">
          <cell r="C1740" t="str">
            <v>MF-246/21</v>
          </cell>
          <cell r="F1740" t="str">
            <v>WEGROW AG</v>
          </cell>
          <cell r="P1740">
            <v>500</v>
          </cell>
          <cell r="R1740" t="str">
            <v>CFR</v>
          </cell>
          <cell r="S1740">
            <v>2180</v>
          </cell>
          <cell r="Y1740">
            <v>0</v>
          </cell>
          <cell r="AF1740" t="str">
            <v>CALLAO</v>
          </cell>
        </row>
        <row r="1741">
          <cell r="C1741">
            <v>0</v>
          </cell>
          <cell r="F1741">
            <v>0</v>
          </cell>
          <cell r="P1741">
            <v>0</v>
          </cell>
          <cell r="R1741">
            <v>0</v>
          </cell>
          <cell r="S1741">
            <v>0</v>
          </cell>
          <cell r="Y1741">
            <v>0</v>
          </cell>
          <cell r="AF1741">
            <v>0</v>
          </cell>
        </row>
        <row r="1742">
          <cell r="C1742">
            <v>0</v>
          </cell>
          <cell r="F1742">
            <v>0</v>
          </cell>
          <cell r="P1742">
            <v>0</v>
          </cell>
          <cell r="R1742">
            <v>0</v>
          </cell>
          <cell r="S1742">
            <v>0</v>
          </cell>
          <cell r="Y1742">
            <v>0</v>
          </cell>
          <cell r="AF1742">
            <v>0</v>
          </cell>
        </row>
        <row r="1743">
          <cell r="C1743" t="str">
            <v>MF-236/21</v>
          </cell>
          <cell r="F1743" t="str">
            <v>YARA PERÚ SRL</v>
          </cell>
          <cell r="P1743">
            <v>540</v>
          </cell>
          <cell r="R1743" t="str">
            <v>CFR</v>
          </cell>
          <cell r="S1743">
            <v>296.06</v>
          </cell>
        </row>
        <row r="1744">
          <cell r="C1744" t="str">
            <v>MF-237/21</v>
          </cell>
          <cell r="F1744" t="str">
            <v>CHENGDU ROCCA CO.,LTD</v>
          </cell>
          <cell r="P1744">
            <v>400</v>
          </cell>
          <cell r="R1744" t="str">
            <v>CFR</v>
          </cell>
          <cell r="S1744">
            <v>339</v>
          </cell>
        </row>
        <row r="1745">
          <cell r="C1745" t="str">
            <v>MF-238/21</v>
          </cell>
          <cell r="F1745" t="str">
            <v>STAR GRACE MINING CO.,LTD</v>
          </cell>
          <cell r="P1745">
            <v>1700</v>
          </cell>
          <cell r="R1745" t="str">
            <v>CFR</v>
          </cell>
          <cell r="S1745">
            <v>313</v>
          </cell>
        </row>
        <row r="1746">
          <cell r="C1746" t="str">
            <v>MF-239/21</v>
          </cell>
          <cell r="F1746" t="str">
            <v>NITRON GROUP LLC</v>
          </cell>
          <cell r="P1746">
            <v>1350</v>
          </cell>
          <cell r="R1746" t="str">
            <v>CFR</v>
          </cell>
          <cell r="S1746">
            <v>920</v>
          </cell>
        </row>
        <row r="1747">
          <cell r="C1747" t="str">
            <v>MF-240/21</v>
          </cell>
          <cell r="F1747" t="str">
            <v>NITRON GROUP LLC</v>
          </cell>
          <cell r="P1747">
            <v>1350</v>
          </cell>
          <cell r="R1747" t="str">
            <v>CFR</v>
          </cell>
          <cell r="S1747">
            <v>925</v>
          </cell>
        </row>
        <row r="1748">
          <cell r="C1748" t="str">
            <v>MF-241A/21</v>
          </cell>
          <cell r="F1748" t="str">
            <v>URALCHEM (MITSUI)</v>
          </cell>
          <cell r="P1748">
            <v>1200</v>
          </cell>
          <cell r="R1748" t="str">
            <v>CFR</v>
          </cell>
          <cell r="S1748">
            <v>771.08</v>
          </cell>
        </row>
        <row r="1749">
          <cell r="C1749" t="str">
            <v>MF-241B/21</v>
          </cell>
          <cell r="F1749" t="str">
            <v>URALCHEM</v>
          </cell>
          <cell r="P1749">
            <v>3400</v>
          </cell>
          <cell r="R1749" t="str">
            <v>CFR</v>
          </cell>
          <cell r="S1749">
            <v>760</v>
          </cell>
        </row>
        <row r="1750">
          <cell r="C1750" t="str">
            <v>MF-241C/21</v>
          </cell>
          <cell r="F1750" t="str">
            <v>URALCHEM (MITSUI)</v>
          </cell>
          <cell r="P1750">
            <v>2700</v>
          </cell>
          <cell r="R1750" t="str">
            <v>CFR</v>
          </cell>
          <cell r="S1750">
            <v>771.08</v>
          </cell>
        </row>
        <row r="1751">
          <cell r="C1751" t="str">
            <v>MF-241D.1/21</v>
          </cell>
          <cell r="F1751" t="str">
            <v>URALCHEM</v>
          </cell>
          <cell r="P1751">
            <v>1300</v>
          </cell>
          <cell r="R1751" t="str">
            <v>CFR</v>
          </cell>
          <cell r="S1751">
            <v>760</v>
          </cell>
        </row>
        <row r="1752">
          <cell r="C1752" t="str">
            <v>MF-241D.2/21</v>
          </cell>
          <cell r="F1752" t="str">
            <v>URALCHEM (MITSUI)</v>
          </cell>
          <cell r="P1752">
            <v>1100</v>
          </cell>
          <cell r="R1752" t="str">
            <v>CFR</v>
          </cell>
          <cell r="S1752">
            <v>771.08</v>
          </cell>
        </row>
        <row r="1753">
          <cell r="C1753" t="str">
            <v>MF-241E/21</v>
          </cell>
          <cell r="F1753" t="str">
            <v>URALCHEM (MITSUI)</v>
          </cell>
          <cell r="P1753">
            <v>2500</v>
          </cell>
          <cell r="R1753" t="str">
            <v>CFR</v>
          </cell>
          <cell r="S1753">
            <v>771.08</v>
          </cell>
        </row>
        <row r="1754">
          <cell r="C1754" t="str">
            <v>MF-242/21</v>
          </cell>
          <cell r="F1754" t="str">
            <v>YARA PERÚ SRL</v>
          </cell>
          <cell r="P1754">
            <v>216</v>
          </cell>
          <cell r="R1754" t="str">
            <v>CFR</v>
          </cell>
          <cell r="S1754">
            <v>791</v>
          </cell>
        </row>
        <row r="1755">
          <cell r="C1755" t="str">
            <v>MF-243/21</v>
          </cell>
          <cell r="F1755" t="str">
            <v>YARA PERÚ SRL</v>
          </cell>
          <cell r="P1755">
            <v>220</v>
          </cell>
          <cell r="R1755" t="str">
            <v>CFR</v>
          </cell>
          <cell r="S1755">
            <v>806</v>
          </cell>
        </row>
        <row r="1756">
          <cell r="C1756" t="str">
            <v>MF-244A/21</v>
          </cell>
          <cell r="F1756" t="str">
            <v>YARA PERÚ SRL</v>
          </cell>
          <cell r="P1756">
            <v>550</v>
          </cell>
          <cell r="R1756" t="str">
            <v>CFR</v>
          </cell>
          <cell r="S1756">
            <v>820.24</v>
          </cell>
        </row>
        <row r="1757">
          <cell r="C1757" t="str">
            <v>MF-244B/21</v>
          </cell>
          <cell r="F1757" t="str">
            <v>YARA PERÚ SRL</v>
          </cell>
          <cell r="P1757">
            <v>1050</v>
          </cell>
          <cell r="R1757" t="str">
            <v>CFR</v>
          </cell>
          <cell r="S1757">
            <v>820.24</v>
          </cell>
        </row>
        <row r="1758">
          <cell r="C1758" t="str">
            <v>MF-244C/21</v>
          </cell>
          <cell r="F1758" t="str">
            <v>YARA PERÚ SRL</v>
          </cell>
          <cell r="P1758">
            <v>1200</v>
          </cell>
          <cell r="R1758" t="str">
            <v>CFR</v>
          </cell>
          <cell r="S1758">
            <v>820.24</v>
          </cell>
        </row>
        <row r="1759">
          <cell r="C1759" t="str">
            <v>MF-244D/21</v>
          </cell>
          <cell r="F1759" t="str">
            <v>YARA PERÚ SRL</v>
          </cell>
          <cell r="P1759">
            <v>1100</v>
          </cell>
          <cell r="R1759" t="str">
            <v>CFR</v>
          </cell>
          <cell r="S1759">
            <v>820.24</v>
          </cell>
        </row>
        <row r="1760">
          <cell r="C1760" t="str">
            <v>MF-244E/21</v>
          </cell>
          <cell r="F1760" t="str">
            <v>YARA PERÚ SRL</v>
          </cell>
          <cell r="P1760">
            <v>601</v>
          </cell>
          <cell r="R1760" t="str">
            <v>CFR</v>
          </cell>
          <cell r="S1760">
            <v>820.24</v>
          </cell>
        </row>
        <row r="1761">
          <cell r="C1761" t="str">
            <v>MF-245A/21</v>
          </cell>
          <cell r="F1761" t="str">
            <v>YARA PERÚ SRL</v>
          </cell>
          <cell r="P1761">
            <v>1950</v>
          </cell>
          <cell r="R1761" t="str">
            <v>CFR</v>
          </cell>
          <cell r="S1761">
            <v>822.65</v>
          </cell>
        </row>
        <row r="1762">
          <cell r="C1762" t="str">
            <v>MF-245B/21</v>
          </cell>
          <cell r="F1762" t="str">
            <v>YARA PERÚ SRL</v>
          </cell>
          <cell r="P1762">
            <v>650</v>
          </cell>
          <cell r="R1762" t="str">
            <v>CFR</v>
          </cell>
          <cell r="S1762">
            <v>822.65</v>
          </cell>
        </row>
        <row r="1763">
          <cell r="C1763" t="str">
            <v>MF-245C/21</v>
          </cell>
          <cell r="F1763" t="str">
            <v>YARA PERÚ SRL</v>
          </cell>
          <cell r="P1763">
            <v>1900</v>
          </cell>
          <cell r="R1763" t="str">
            <v>CFR</v>
          </cell>
          <cell r="S1763">
            <v>822.65</v>
          </cell>
        </row>
        <row r="1764">
          <cell r="C1764" t="str">
            <v>MF-245D/21</v>
          </cell>
          <cell r="F1764" t="str">
            <v>YARA PERÚ SRL</v>
          </cell>
          <cell r="P1764">
            <v>1001</v>
          </cell>
          <cell r="R1764" t="str">
            <v>CFR</v>
          </cell>
          <cell r="S1764">
            <v>822.65</v>
          </cell>
        </row>
        <row r="1765">
          <cell r="C1765" t="str">
            <v>MF-246/21</v>
          </cell>
          <cell r="F1765" t="str">
            <v>WEGROW AG</v>
          </cell>
          <cell r="P1765">
            <v>512.5</v>
          </cell>
          <cell r="R1765" t="str">
            <v>CFR</v>
          </cell>
          <cell r="S1765">
            <v>2194</v>
          </cell>
        </row>
        <row r="1766">
          <cell r="C1766" t="str">
            <v>MF-247.1/21</v>
          </cell>
          <cell r="F1766" t="str">
            <v>CHENGDU ROCCA CO.,LTD</v>
          </cell>
          <cell r="P1766">
            <v>400</v>
          </cell>
          <cell r="R1766" t="str">
            <v>CFR</v>
          </cell>
          <cell r="S1766">
            <v>1142</v>
          </cell>
        </row>
        <row r="1767">
          <cell r="C1767" t="str">
            <v>MF-247.2/21</v>
          </cell>
          <cell r="F1767" t="str">
            <v>CHENGDU ROCCA CO.,LTD</v>
          </cell>
          <cell r="P1767">
            <v>400</v>
          </cell>
          <cell r="R1767" t="str">
            <v>CFR</v>
          </cell>
          <cell r="S1767">
            <v>1142</v>
          </cell>
        </row>
        <row r="1768">
          <cell r="C1768" t="str">
            <v>MF-248/21</v>
          </cell>
          <cell r="F1768" t="str">
            <v>CHENGDU ROCCA CO.,LTD</v>
          </cell>
          <cell r="P1768">
            <v>3000</v>
          </cell>
          <cell r="R1768" t="str">
            <v>CFR</v>
          </cell>
          <cell r="S1768">
            <v>435</v>
          </cell>
        </row>
        <row r="1769">
          <cell r="C1769" t="str">
            <v>MF-249/21</v>
          </cell>
          <cell r="F1769" t="str">
            <v>VALUDOR Products LLC</v>
          </cell>
          <cell r="P1769">
            <v>0</v>
          </cell>
          <cell r="R1769">
            <v>0</v>
          </cell>
          <cell r="S1769">
            <v>0</v>
          </cell>
        </row>
        <row r="1770">
          <cell r="C1770" t="str">
            <v>MF-250.1/21</v>
          </cell>
          <cell r="F1770" t="str">
            <v>YARA PERÚ SRL</v>
          </cell>
          <cell r="P1770">
            <v>270</v>
          </cell>
          <cell r="R1770" t="str">
            <v>CFR</v>
          </cell>
          <cell r="S1770">
            <v>372.44</v>
          </cell>
        </row>
        <row r="1771">
          <cell r="C1771" t="str">
            <v>MF-250.2/21</v>
          </cell>
          <cell r="F1771" t="str">
            <v>YARA PERÚ SRL</v>
          </cell>
          <cell r="P1771">
            <v>270</v>
          </cell>
          <cell r="R1771" t="str">
            <v>CFR</v>
          </cell>
          <cell r="S1771">
            <v>233.09</v>
          </cell>
        </row>
        <row r="1772">
          <cell r="C1772" t="str">
            <v>MF-250.3/21</v>
          </cell>
          <cell r="F1772" t="str">
            <v>YARA PERÚ SRL</v>
          </cell>
          <cell r="P1772">
            <v>486</v>
          </cell>
          <cell r="R1772" t="str">
            <v>CFR</v>
          </cell>
          <cell r="S1772">
            <v>233.09</v>
          </cell>
        </row>
        <row r="1773">
          <cell r="C1773" t="str">
            <v>MF-251.1/21</v>
          </cell>
          <cell r="F1773" t="str">
            <v>YARA PERÚ SRL</v>
          </cell>
          <cell r="P1773">
            <v>162</v>
          </cell>
          <cell r="R1773" t="str">
            <v>CFR</v>
          </cell>
          <cell r="S1773">
            <v>296.06</v>
          </cell>
        </row>
        <row r="1774">
          <cell r="C1774" t="str">
            <v>MF-251.2/21</v>
          </cell>
          <cell r="F1774" t="str">
            <v>YARA PERÚ SRL</v>
          </cell>
          <cell r="P1774">
            <v>162</v>
          </cell>
          <cell r="R1774" t="str">
            <v>CFR</v>
          </cell>
          <cell r="S1774">
            <v>372.44</v>
          </cell>
        </row>
        <row r="1775">
          <cell r="C1775" t="str">
            <v>MF-251.3/21</v>
          </cell>
          <cell r="F1775" t="str">
            <v>YARA PERÚ SRL</v>
          </cell>
          <cell r="P1775">
            <v>216</v>
          </cell>
          <cell r="R1775" t="str">
            <v>CFR</v>
          </cell>
          <cell r="S1775">
            <v>372.44</v>
          </cell>
        </row>
        <row r="1776">
          <cell r="C1776" t="str">
            <v>MF-251.4/21</v>
          </cell>
          <cell r="F1776" t="str">
            <v>YARA PERÚ SRL</v>
          </cell>
          <cell r="P1776">
            <v>216</v>
          </cell>
          <cell r="R1776" t="str">
            <v>CFR</v>
          </cell>
          <cell r="S1776">
            <v>372.44</v>
          </cell>
        </row>
        <row r="1777">
          <cell r="C1777" t="str">
            <v>MF-252/21</v>
          </cell>
          <cell r="F1777" t="str">
            <v>YARA PERÚ SRL</v>
          </cell>
          <cell r="P1777">
            <v>270</v>
          </cell>
          <cell r="R1777" t="str">
            <v>CFR</v>
          </cell>
          <cell r="S1777">
            <v>372.44</v>
          </cell>
        </row>
        <row r="1778">
          <cell r="C1778" t="str">
            <v>MF-253/21</v>
          </cell>
          <cell r="F1778" t="str">
            <v>YARA PERÚ SRL</v>
          </cell>
          <cell r="P1778">
            <v>189</v>
          </cell>
          <cell r="R1778" t="str">
            <v>CFR</v>
          </cell>
          <cell r="S1778">
            <v>352.26</v>
          </cell>
        </row>
        <row r="1779">
          <cell r="C1779" t="str">
            <v>MF-254.1/21</v>
          </cell>
          <cell r="F1779" t="str">
            <v>YARA PERÚ SRL</v>
          </cell>
          <cell r="P1779">
            <v>216</v>
          </cell>
          <cell r="R1779" t="str">
            <v>CFR</v>
          </cell>
          <cell r="S1779">
            <v>364.22</v>
          </cell>
        </row>
        <row r="1780">
          <cell r="C1780" t="str">
            <v>MF-254.2/21</v>
          </cell>
          <cell r="F1780" t="str">
            <v>YARA PERÚ SRL</v>
          </cell>
          <cell r="P1780">
            <v>27</v>
          </cell>
          <cell r="R1780" t="str">
            <v>CFR</v>
          </cell>
          <cell r="S1780">
            <v>334.22</v>
          </cell>
        </row>
        <row r="1781">
          <cell r="C1781" t="str">
            <v>MF-255/21</v>
          </cell>
          <cell r="F1781" t="str">
            <v>VALUDOR Products LLC</v>
          </cell>
          <cell r="P1781">
            <v>162.5</v>
          </cell>
          <cell r="R1781" t="str">
            <v>CFR</v>
          </cell>
          <cell r="S1781">
            <v>2950</v>
          </cell>
        </row>
        <row r="1782">
          <cell r="C1782" t="str">
            <v>MF-256.1/21</v>
          </cell>
          <cell r="F1782" t="str">
            <v>VALUDOR Products LLC</v>
          </cell>
          <cell r="P1782">
            <v>162.5</v>
          </cell>
          <cell r="R1782" t="str">
            <v>CFR</v>
          </cell>
          <cell r="S1782">
            <v>2855</v>
          </cell>
        </row>
        <row r="1783">
          <cell r="C1783" t="str">
            <v>MF-256.2/21</v>
          </cell>
          <cell r="F1783" t="str">
            <v>VALUDOR Products LLC</v>
          </cell>
          <cell r="P1783">
            <v>195</v>
          </cell>
          <cell r="R1783" t="str">
            <v>CFR</v>
          </cell>
          <cell r="S1783">
            <v>2855</v>
          </cell>
        </row>
        <row r="1784">
          <cell r="C1784" t="str">
            <v>MF-257A/21</v>
          </cell>
          <cell r="F1784" t="str">
            <v xml:space="preserve">TGO Agriculture (USA) Inc. </v>
          </cell>
          <cell r="P1784">
            <v>3300</v>
          </cell>
          <cell r="R1784" t="str">
            <v>CFR</v>
          </cell>
          <cell r="S1784">
            <v>510</v>
          </cell>
        </row>
        <row r="1785">
          <cell r="C1785" t="str">
            <v>MF-257B/21</v>
          </cell>
          <cell r="F1785" t="str">
            <v xml:space="preserve">TGO Agriculture (USA) Inc. </v>
          </cell>
          <cell r="P1785">
            <v>2800</v>
          </cell>
          <cell r="R1785" t="str">
            <v>CFR</v>
          </cell>
          <cell r="S1785">
            <v>510</v>
          </cell>
        </row>
        <row r="1786">
          <cell r="C1786" t="str">
            <v>MF-257C/21</v>
          </cell>
          <cell r="F1786" t="str">
            <v xml:space="preserve">TGO Agriculture (USA) Inc. </v>
          </cell>
          <cell r="P1786">
            <v>550</v>
          </cell>
          <cell r="R1786" t="str">
            <v>CFR</v>
          </cell>
          <cell r="S1786">
            <v>510</v>
          </cell>
        </row>
        <row r="1787">
          <cell r="C1787" t="str">
            <v>MF-257D/21</v>
          </cell>
          <cell r="F1787" t="str">
            <v xml:space="preserve">TGO Agriculture (USA) Inc. </v>
          </cell>
          <cell r="P1787">
            <v>500</v>
          </cell>
          <cell r="R1787" t="str">
            <v>CFR</v>
          </cell>
          <cell r="S1787">
            <v>510</v>
          </cell>
        </row>
        <row r="1788">
          <cell r="C1788" t="str">
            <v>MF-258A/21</v>
          </cell>
          <cell r="F1788" t="str">
            <v xml:space="preserve">TGO Agriculture (USA) Inc. </v>
          </cell>
          <cell r="P1788">
            <v>125</v>
          </cell>
          <cell r="R1788" t="str">
            <v>CFR</v>
          </cell>
          <cell r="S1788">
            <v>595</v>
          </cell>
        </row>
        <row r="1789">
          <cell r="C1789" t="str">
            <v>MF-258B/21</v>
          </cell>
          <cell r="F1789" t="str">
            <v xml:space="preserve">TGO Agriculture (USA) Inc. </v>
          </cell>
          <cell r="P1789">
            <v>125</v>
          </cell>
          <cell r="R1789" t="str">
            <v>CFR</v>
          </cell>
          <cell r="S1789">
            <v>595</v>
          </cell>
        </row>
        <row r="1790">
          <cell r="C1790" t="str">
            <v>MF-258C/21</v>
          </cell>
          <cell r="F1790" t="str">
            <v xml:space="preserve">TGO Agriculture (USA) Inc. </v>
          </cell>
          <cell r="P1790">
            <v>300</v>
          </cell>
          <cell r="R1790" t="str">
            <v>CFR</v>
          </cell>
          <cell r="S1790">
            <v>595</v>
          </cell>
        </row>
        <row r="1791">
          <cell r="C1791" t="str">
            <v>MF-259/21</v>
          </cell>
          <cell r="F1791" t="str">
            <v>STAR GRACE MINING CO.,LTD</v>
          </cell>
          <cell r="P1791">
            <v>700</v>
          </cell>
          <cell r="R1791" t="str">
            <v>CFR</v>
          </cell>
          <cell r="S1791">
            <v>449</v>
          </cell>
        </row>
        <row r="1792">
          <cell r="C1792" t="str">
            <v>MF-260.1/21</v>
          </cell>
          <cell r="F1792" t="str">
            <v>STAR GRACE MINING CO.,LTD</v>
          </cell>
          <cell r="P1792">
            <v>1340</v>
          </cell>
          <cell r="R1792" t="str">
            <v>CFR</v>
          </cell>
          <cell r="S1792">
            <v>311</v>
          </cell>
        </row>
        <row r="1793">
          <cell r="C1793" t="str">
            <v>MF-260.2/21</v>
          </cell>
          <cell r="F1793" t="str">
            <v>STAR GRACE MINING CO.,LTD</v>
          </cell>
          <cell r="P1793">
            <v>1460</v>
          </cell>
          <cell r="R1793" t="str">
            <v>CFR</v>
          </cell>
          <cell r="S1793">
            <v>311</v>
          </cell>
        </row>
        <row r="1794">
          <cell r="C1794" t="str">
            <v>MF-261/21</v>
          </cell>
          <cell r="F1794" t="str">
            <v>WEGROW AG</v>
          </cell>
          <cell r="P1794">
            <v>5000</v>
          </cell>
          <cell r="R1794" t="str">
            <v>CFR</v>
          </cell>
          <cell r="S1794">
            <v>857</v>
          </cell>
        </row>
        <row r="1795">
          <cell r="C1795" t="str">
            <v>MF-262/21</v>
          </cell>
          <cell r="F1795" t="str">
            <v xml:space="preserve">PHOSAGRO </v>
          </cell>
          <cell r="P1795">
            <v>518.4</v>
          </cell>
          <cell r="R1795" t="str">
            <v>CFR</v>
          </cell>
          <cell r="S1795">
            <v>1030</v>
          </cell>
        </row>
        <row r="1796">
          <cell r="C1796" t="str">
            <v>MF-263/21</v>
          </cell>
          <cell r="F1796" t="str">
            <v>WEGROW AG</v>
          </cell>
          <cell r="P1796">
            <v>10</v>
          </cell>
          <cell r="R1796" t="str">
            <v>CPT</v>
          </cell>
          <cell r="S1796">
            <v>13400</v>
          </cell>
        </row>
        <row r="1797">
          <cell r="C1797" t="str">
            <v>MF-264A/21</v>
          </cell>
          <cell r="F1797" t="str">
            <v>NITRON GROUP LLC</v>
          </cell>
          <cell r="P1797">
            <v>1320</v>
          </cell>
          <cell r="R1797" t="str">
            <v>CFR</v>
          </cell>
          <cell r="S1797">
            <v>980</v>
          </cell>
        </row>
        <row r="1798">
          <cell r="C1798" t="str">
            <v>MF-264B/21</v>
          </cell>
          <cell r="F1798" t="str">
            <v>NITRON GROUP LLC</v>
          </cell>
          <cell r="P1798">
            <v>1980</v>
          </cell>
          <cell r="R1798" t="str">
            <v>CFR</v>
          </cell>
          <cell r="S1798">
            <v>980</v>
          </cell>
        </row>
        <row r="1799">
          <cell r="C1799" t="str">
            <v>MF-265A.1/21</v>
          </cell>
          <cell r="F1799" t="str">
            <v>NITRON GROUP LLC</v>
          </cell>
          <cell r="P1799">
            <v>685</v>
          </cell>
          <cell r="R1799" t="str">
            <v>CFR</v>
          </cell>
          <cell r="S1799">
            <v>990</v>
          </cell>
        </row>
        <row r="1800">
          <cell r="C1800" t="str">
            <v>MF-265A.2/21</v>
          </cell>
          <cell r="F1800" t="str">
            <v>NITRON GROUP LLC</v>
          </cell>
          <cell r="P1800">
            <v>195</v>
          </cell>
          <cell r="R1800" t="str">
            <v>CFR</v>
          </cell>
          <cell r="S1800">
            <v>990</v>
          </cell>
        </row>
        <row r="1801">
          <cell r="C1801" t="str">
            <v>MF-265B/21</v>
          </cell>
          <cell r="F1801" t="str">
            <v>NITRON GROUP LLC</v>
          </cell>
          <cell r="P1801">
            <v>770</v>
          </cell>
          <cell r="R1801" t="str">
            <v>CFR</v>
          </cell>
          <cell r="S1801">
            <v>990</v>
          </cell>
        </row>
        <row r="1802">
          <cell r="C1802" t="str">
            <v>MF-266/21</v>
          </cell>
          <cell r="F1802" t="str">
            <v>C&amp;B AGRI ENTERPRISE LTD</v>
          </cell>
          <cell r="P1802">
            <v>2.875</v>
          </cell>
          <cell r="R1802" t="str">
            <v>CFR</v>
          </cell>
          <cell r="S1802">
            <v>25.88748</v>
          </cell>
        </row>
        <row r="1803">
          <cell r="C1803" t="str">
            <v>MF-267/21</v>
          </cell>
          <cell r="F1803" t="str">
            <v>YARA PERÚ SRL</v>
          </cell>
          <cell r="P1803">
            <v>5.9004000000000003</v>
          </cell>
          <cell r="R1803" t="str">
            <v>CFR</v>
          </cell>
          <cell r="S1803">
            <v>6050</v>
          </cell>
        </row>
        <row r="1804">
          <cell r="C1804" t="str">
            <v>MF-268/21</v>
          </cell>
          <cell r="F1804" t="str">
            <v>YARA PERÚ SRL</v>
          </cell>
          <cell r="P1804">
            <v>5.8109999999999999</v>
          </cell>
          <cell r="R1804" t="str">
            <v>CFR</v>
          </cell>
          <cell r="S1804">
            <v>5300</v>
          </cell>
        </row>
        <row r="1805">
          <cell r="C1805" t="str">
            <v>MF-269/21</v>
          </cell>
          <cell r="F1805" t="str">
            <v>YARA PERÚ SRL</v>
          </cell>
          <cell r="P1805">
            <v>1.92</v>
          </cell>
          <cell r="R1805" t="str">
            <v>CFR</v>
          </cell>
          <cell r="S1805">
            <v>5600</v>
          </cell>
        </row>
        <row r="1806">
          <cell r="C1806" t="str">
            <v>MUESTRA 4/21</v>
          </cell>
          <cell r="F1806" t="str">
            <v>C&amp;B AGRI ENTERPRISE LTD</v>
          </cell>
          <cell r="P1806">
            <v>0.02</v>
          </cell>
          <cell r="R1806" t="str">
            <v>FOB</v>
          </cell>
          <cell r="S1806">
            <v>500</v>
          </cell>
        </row>
        <row r="1807">
          <cell r="C1807" t="str">
            <v>MF-270A/21</v>
          </cell>
          <cell r="F1807" t="str">
            <v>YARA PERÚ SRL</v>
          </cell>
          <cell r="P1807">
            <v>506</v>
          </cell>
          <cell r="R1807" t="str">
            <v>CPT</v>
          </cell>
          <cell r="S1807">
            <v>890</v>
          </cell>
        </row>
        <row r="1808">
          <cell r="C1808" t="str">
            <v>MF-270B/21</v>
          </cell>
          <cell r="F1808" t="str">
            <v>YARA PERÚ SRL</v>
          </cell>
          <cell r="P1808">
            <v>220</v>
          </cell>
          <cell r="R1808" t="str">
            <v>CPT</v>
          </cell>
          <cell r="S1808">
            <v>900</v>
          </cell>
        </row>
        <row r="1809">
          <cell r="C1809" t="str">
            <v>MF-271A/21</v>
          </cell>
          <cell r="F1809" t="str">
            <v>YARA PERÚ SRL</v>
          </cell>
          <cell r="P1809">
            <v>66</v>
          </cell>
          <cell r="R1809" t="str">
            <v>CPT</v>
          </cell>
          <cell r="S1809">
            <v>825</v>
          </cell>
        </row>
        <row r="1810">
          <cell r="C1810" t="str">
            <v>MF-271B/21</v>
          </cell>
          <cell r="F1810" t="str">
            <v>YARA PERÚ SRL</v>
          </cell>
          <cell r="P1810">
            <v>242</v>
          </cell>
          <cell r="R1810" t="str">
            <v>CPT</v>
          </cell>
          <cell r="S1810">
            <v>835</v>
          </cell>
        </row>
        <row r="1811">
          <cell r="C1811" t="str">
            <v>MF-272/21</v>
          </cell>
          <cell r="F1811" t="str">
            <v>Al-Afaq for Agricultural Materials Trade Company</v>
          </cell>
          <cell r="P1811">
            <v>1200</v>
          </cell>
          <cell r="R1811" t="str">
            <v>CFR</v>
          </cell>
          <cell r="S1811">
            <v>1384</v>
          </cell>
        </row>
        <row r="1812">
          <cell r="C1812" t="str">
            <v>MF-273/21</v>
          </cell>
          <cell r="F1812" t="str">
            <v>KINGENTA</v>
          </cell>
          <cell r="P1812">
            <v>1512</v>
          </cell>
          <cell r="R1812" t="str">
            <v>CIF</v>
          </cell>
          <cell r="S1812">
            <v>1625</v>
          </cell>
        </row>
        <row r="1813">
          <cell r="C1813" t="str">
            <v>MF-274/21</v>
          </cell>
          <cell r="F1813" t="str">
            <v>NITRON GROUP LLC</v>
          </cell>
          <cell r="P1813">
            <v>688</v>
          </cell>
          <cell r="R1813" t="str">
            <v>CFR</v>
          </cell>
          <cell r="S1813">
            <v>2178</v>
          </cell>
        </row>
        <row r="1814">
          <cell r="C1814" t="str">
            <v>MF-275/21</v>
          </cell>
          <cell r="F1814" t="str">
            <v>STAR GRACE MINING CO.,LTD</v>
          </cell>
          <cell r="P1814">
            <v>400</v>
          </cell>
          <cell r="R1814" t="str">
            <v>CFR</v>
          </cell>
          <cell r="S1814">
            <v>448</v>
          </cell>
        </row>
        <row r="1815">
          <cell r="C1815" t="str">
            <v>MF-276/21</v>
          </cell>
          <cell r="F1815" t="str">
            <v>CHENGDU ROCCA CO.,LTD</v>
          </cell>
          <cell r="P1815">
            <v>1500</v>
          </cell>
          <cell r="R1815" t="str">
            <v>CFR</v>
          </cell>
          <cell r="S1815">
            <v>1315</v>
          </cell>
        </row>
        <row r="1816">
          <cell r="C1816" t="str">
            <v>MF-277/21</v>
          </cell>
          <cell r="F1816" t="str">
            <v>YARA PERÚ SRL</v>
          </cell>
          <cell r="P1816">
            <v>107.82</v>
          </cell>
          <cell r="R1816" t="str">
            <v>CFR</v>
          </cell>
          <cell r="S1816">
            <v>475.68</v>
          </cell>
        </row>
        <row r="1817">
          <cell r="C1817" t="str">
            <v>MF-278/21</v>
          </cell>
          <cell r="F1817" t="str">
            <v>ICL EUROPE COOPERATIEF U.A.</v>
          </cell>
          <cell r="P1817">
            <v>400</v>
          </cell>
          <cell r="R1817" t="str">
            <v>CFR</v>
          </cell>
          <cell r="S1817">
            <v>405</v>
          </cell>
        </row>
        <row r="1818">
          <cell r="C1818" t="str">
            <v>MF-279/21</v>
          </cell>
          <cell r="F1818" t="str">
            <v>CHENGDU ROCCA CO.,LTD</v>
          </cell>
          <cell r="P1818">
            <v>3000</v>
          </cell>
          <cell r="R1818" t="str">
            <v>CFR</v>
          </cell>
          <cell r="S1818">
            <v>435</v>
          </cell>
        </row>
        <row r="1819">
          <cell r="C1819" t="str">
            <v>MF-280/21</v>
          </cell>
          <cell r="F1819" t="str">
            <v>ACF MINERA</v>
          </cell>
          <cell r="P1819">
            <v>100</v>
          </cell>
          <cell r="R1819" t="str">
            <v>CIP</v>
          </cell>
          <cell r="S1819">
            <v>1300</v>
          </cell>
        </row>
        <row r="1820">
          <cell r="C1820" t="str">
            <v>MF-281/21</v>
          </cell>
          <cell r="F1820" t="str">
            <v>YARA PERÚ SRL</v>
          </cell>
          <cell r="P1820">
            <v>220</v>
          </cell>
          <cell r="R1820" t="str">
            <v>CFR</v>
          </cell>
          <cell r="S1820">
            <v>806</v>
          </cell>
        </row>
        <row r="1821">
          <cell r="C1821" t="str">
            <v>MF-282/21</v>
          </cell>
          <cell r="F1821" t="str">
            <v>YARA PERÚ SRL</v>
          </cell>
          <cell r="P1821">
            <v>154</v>
          </cell>
          <cell r="R1821" t="str">
            <v>CFR</v>
          </cell>
          <cell r="S1821">
            <v>806</v>
          </cell>
        </row>
        <row r="1822">
          <cell r="C1822" t="str">
            <v>MF-283/21</v>
          </cell>
          <cell r="F1822" t="str">
            <v>YARA PERÚ SRL</v>
          </cell>
          <cell r="P1822">
            <v>220</v>
          </cell>
          <cell r="R1822" t="str">
            <v>CFR</v>
          </cell>
          <cell r="S1822">
            <v>806</v>
          </cell>
        </row>
        <row r="1823">
          <cell r="C1823" t="str">
            <v>MF-284A/21</v>
          </cell>
          <cell r="F1823" t="str">
            <v xml:space="preserve">TGO Agriculture (USA) Inc. </v>
          </cell>
          <cell r="P1823">
            <v>1300</v>
          </cell>
          <cell r="R1823" t="str">
            <v>CFR</v>
          </cell>
          <cell r="S1823">
            <v>310</v>
          </cell>
        </row>
        <row r="1824">
          <cell r="C1824" t="str">
            <v>MF-284B/21</v>
          </cell>
          <cell r="F1824" t="str">
            <v xml:space="preserve">TGO Agriculture (USA) Inc. </v>
          </cell>
          <cell r="P1824">
            <v>1700</v>
          </cell>
          <cell r="R1824" t="str">
            <v>CFR</v>
          </cell>
          <cell r="S1824">
            <v>310</v>
          </cell>
        </row>
        <row r="1825">
          <cell r="C1825" t="str">
            <v>MF-285A/21</v>
          </cell>
          <cell r="F1825" t="str">
            <v xml:space="preserve">TGO Agriculture (USA) Inc. </v>
          </cell>
          <cell r="P1825">
            <v>100</v>
          </cell>
          <cell r="R1825" t="str">
            <v>CFR</v>
          </cell>
          <cell r="S1825">
            <v>310</v>
          </cell>
        </row>
        <row r="1826">
          <cell r="C1826" t="str">
            <v>MF-285B/21</v>
          </cell>
          <cell r="F1826" t="str">
            <v xml:space="preserve">TGO Agriculture (USA) Inc. </v>
          </cell>
          <cell r="P1826">
            <v>100</v>
          </cell>
          <cell r="R1826" t="str">
            <v>CFR</v>
          </cell>
          <cell r="S1826">
            <v>310</v>
          </cell>
        </row>
        <row r="1827">
          <cell r="C1827" t="str">
            <v>MF-286/21</v>
          </cell>
          <cell r="F1827" t="str">
            <v>YARA PERÚ SRL</v>
          </cell>
          <cell r="P1827">
            <v>27</v>
          </cell>
          <cell r="R1827" t="str">
            <v>CFR</v>
          </cell>
          <cell r="S1827">
            <v>334.22</v>
          </cell>
        </row>
        <row r="1828">
          <cell r="C1828" t="str">
            <v>MF-287/21</v>
          </cell>
          <cell r="F1828" t="str">
            <v>YARA PERÚ SRL</v>
          </cell>
          <cell r="P1828">
            <v>189</v>
          </cell>
          <cell r="R1828" t="str">
            <v>CFR</v>
          </cell>
          <cell r="S1828">
            <v>334.22</v>
          </cell>
        </row>
        <row r="1829">
          <cell r="C1829" t="str">
            <v>MF-288/21</v>
          </cell>
          <cell r="F1829" t="str">
            <v>YARA PERÚ SRL</v>
          </cell>
          <cell r="P1829">
            <v>27</v>
          </cell>
          <cell r="R1829" t="str">
            <v>CFR</v>
          </cell>
          <cell r="S1829">
            <v>334.22</v>
          </cell>
        </row>
        <row r="1830">
          <cell r="C1830" t="str">
            <v>MF-289/21</v>
          </cell>
          <cell r="F1830" t="str">
            <v>YARA PERÚ SRL</v>
          </cell>
          <cell r="P1830">
            <v>135</v>
          </cell>
          <cell r="R1830" t="str">
            <v>CFR</v>
          </cell>
          <cell r="S1830">
            <v>334.22</v>
          </cell>
        </row>
        <row r="1831">
          <cell r="C1831" t="str">
            <v>MF-290/21</v>
          </cell>
          <cell r="F1831" t="str">
            <v>YARA PERÚ SRL</v>
          </cell>
          <cell r="P1831">
            <v>108</v>
          </cell>
          <cell r="R1831" t="str">
            <v>CFR</v>
          </cell>
          <cell r="S1831">
            <v>334.22</v>
          </cell>
        </row>
        <row r="1832">
          <cell r="C1832" t="str">
            <v>MF-291/21</v>
          </cell>
          <cell r="F1832" t="str">
            <v>YARA PERÚ SRL</v>
          </cell>
          <cell r="P1832">
            <v>378</v>
          </cell>
          <cell r="R1832" t="str">
            <v>CFR</v>
          </cell>
          <cell r="S1832">
            <v>334.22</v>
          </cell>
        </row>
        <row r="1833">
          <cell r="C1833" t="str">
            <v>MF-292/21</v>
          </cell>
          <cell r="F1833" t="str">
            <v>YARA PERÚ SRL</v>
          </cell>
          <cell r="P1833">
            <v>108</v>
          </cell>
          <cell r="R1833" t="str">
            <v>CFR</v>
          </cell>
          <cell r="S1833">
            <v>334.22</v>
          </cell>
        </row>
        <row r="1834">
          <cell r="C1834" t="str">
            <v>MF-293A/21</v>
          </cell>
          <cell r="F1834" t="str">
            <v>YARA PERÚ SRL</v>
          </cell>
          <cell r="P1834">
            <v>297</v>
          </cell>
          <cell r="R1834" t="str">
            <v>CFR</v>
          </cell>
          <cell r="S1834">
            <v>233.09</v>
          </cell>
        </row>
        <row r="1835">
          <cell r="C1835" t="str">
            <v>MF-293B/21</v>
          </cell>
          <cell r="F1835" t="str">
            <v>YARA PERÚ SRL</v>
          </cell>
          <cell r="P1835">
            <v>297</v>
          </cell>
          <cell r="R1835" t="str">
            <v>CFR</v>
          </cell>
          <cell r="S1835">
            <v>233.09</v>
          </cell>
        </row>
        <row r="1836">
          <cell r="C1836" t="str">
            <v>MF-294A/21</v>
          </cell>
          <cell r="F1836" t="str">
            <v>YARA PERÚ SRL</v>
          </cell>
          <cell r="P1836">
            <v>216</v>
          </cell>
          <cell r="R1836" t="str">
            <v>CFR</v>
          </cell>
          <cell r="S1836">
            <v>233.09</v>
          </cell>
        </row>
        <row r="1837">
          <cell r="C1837" t="str">
            <v>MF-294B/21</v>
          </cell>
          <cell r="F1837" t="str">
            <v>YARA PERÚ SRL</v>
          </cell>
          <cell r="P1837">
            <v>108</v>
          </cell>
          <cell r="R1837" t="str">
            <v>CFR</v>
          </cell>
          <cell r="S1837">
            <v>233.09</v>
          </cell>
        </row>
        <row r="1838">
          <cell r="C1838" t="str">
            <v>MF-295/21</v>
          </cell>
          <cell r="F1838" t="str">
            <v>YARA PERÚ SRL</v>
          </cell>
          <cell r="P1838">
            <v>81</v>
          </cell>
          <cell r="R1838" t="str">
            <v>CFR</v>
          </cell>
          <cell r="S1838">
            <v>233.09</v>
          </cell>
        </row>
        <row r="1839">
          <cell r="C1839" t="str">
            <v>MF-296/21</v>
          </cell>
          <cell r="F1839" t="str">
            <v>YARA PERÚ SRL</v>
          </cell>
          <cell r="P1839">
            <v>486</v>
          </cell>
          <cell r="R1839" t="str">
            <v>CFR</v>
          </cell>
          <cell r="S1839">
            <v>233.09</v>
          </cell>
        </row>
        <row r="1840">
          <cell r="C1840" t="str">
            <v>MF-297A/21</v>
          </cell>
          <cell r="F1840" t="str">
            <v>YARA PERÚ SRL</v>
          </cell>
          <cell r="P1840">
            <v>216</v>
          </cell>
          <cell r="R1840" t="str">
            <v>CFR</v>
          </cell>
          <cell r="S1840">
            <v>233.09</v>
          </cell>
        </row>
        <row r="1841">
          <cell r="C1841" t="str">
            <v>MF-297B/21</v>
          </cell>
          <cell r="F1841" t="str">
            <v>YARA PERÚ SRL</v>
          </cell>
          <cell r="P1841">
            <v>216</v>
          </cell>
          <cell r="R1841" t="str">
            <v>CFR</v>
          </cell>
          <cell r="S1841">
            <v>233.09</v>
          </cell>
        </row>
        <row r="1842">
          <cell r="C1842" t="str">
            <v>MF-298/21</v>
          </cell>
          <cell r="F1842" t="str">
            <v>YARA PERÚ SRL</v>
          </cell>
          <cell r="P1842">
            <v>81</v>
          </cell>
          <cell r="R1842" t="str">
            <v>CFR</v>
          </cell>
          <cell r="S1842">
            <v>233.09</v>
          </cell>
        </row>
        <row r="1843">
          <cell r="C1843" t="str">
            <v>MF-299A/21</v>
          </cell>
          <cell r="F1843" t="str">
            <v>YARA PERÚ SRL</v>
          </cell>
          <cell r="P1843">
            <v>324</v>
          </cell>
          <cell r="R1843" t="str">
            <v>CFR</v>
          </cell>
          <cell r="S1843">
            <v>233.09</v>
          </cell>
        </row>
        <row r="1844">
          <cell r="C1844" t="str">
            <v>MF-299B/21</v>
          </cell>
          <cell r="F1844" t="str">
            <v>YARA PERÚ SRL</v>
          </cell>
          <cell r="P1844">
            <v>324</v>
          </cell>
          <cell r="R1844" t="str">
            <v>CFR</v>
          </cell>
          <cell r="S1844">
            <v>233.09</v>
          </cell>
        </row>
        <row r="1845">
          <cell r="C1845" t="str">
            <v>MF-299C/21</v>
          </cell>
          <cell r="F1845" t="str">
            <v>YARA PERÚ SRL</v>
          </cell>
          <cell r="P1845">
            <v>324</v>
          </cell>
          <cell r="R1845" t="str">
            <v>CFR</v>
          </cell>
          <cell r="S1845">
            <v>233.09</v>
          </cell>
        </row>
        <row r="1846">
          <cell r="C1846" t="str">
            <v>MF-300A/21</v>
          </cell>
          <cell r="F1846" t="str">
            <v>YARA PERÚ SRL</v>
          </cell>
          <cell r="P1846">
            <v>216</v>
          </cell>
          <cell r="R1846" t="str">
            <v>CFR</v>
          </cell>
          <cell r="S1846">
            <v>233.09</v>
          </cell>
        </row>
        <row r="1847">
          <cell r="C1847" t="str">
            <v>MF-300B/21</v>
          </cell>
          <cell r="F1847" t="str">
            <v>YARA PERÚ SRL</v>
          </cell>
          <cell r="P1847">
            <v>108</v>
          </cell>
          <cell r="R1847" t="str">
            <v>CFR</v>
          </cell>
          <cell r="S1847">
            <v>233.09</v>
          </cell>
        </row>
        <row r="1848">
          <cell r="C1848" t="str">
            <v>MF-301/21</v>
          </cell>
          <cell r="F1848" t="str">
            <v>YARA PERÚ SRL</v>
          </cell>
          <cell r="P1848">
            <v>27</v>
          </cell>
          <cell r="R1848" t="str">
            <v>CFR</v>
          </cell>
          <cell r="S1848">
            <v>233.09</v>
          </cell>
        </row>
        <row r="1849">
          <cell r="P1849">
            <v>0</v>
          </cell>
          <cell r="R1849">
            <v>0</v>
          </cell>
          <cell r="S1849">
            <v>0</v>
          </cell>
        </row>
        <row r="1850">
          <cell r="P1850">
            <v>0</v>
          </cell>
          <cell r="R1850">
            <v>0</v>
          </cell>
          <cell r="S1850">
            <v>0</v>
          </cell>
        </row>
        <row r="1851">
          <cell r="P1851">
            <v>0</v>
          </cell>
          <cell r="R1851">
            <v>0</v>
          </cell>
          <cell r="S1851">
            <v>0</v>
          </cell>
        </row>
        <row r="1852">
          <cell r="P1852">
            <v>0</v>
          </cell>
          <cell r="S1852">
            <v>0</v>
          </cell>
        </row>
        <row r="1853">
          <cell r="P1853">
            <v>0</v>
          </cell>
          <cell r="S1853">
            <v>0</v>
          </cell>
        </row>
        <row r="1854">
          <cell r="P1854">
            <v>0</v>
          </cell>
          <cell r="S1854">
            <v>0</v>
          </cell>
        </row>
        <row r="1855">
          <cell r="P1855">
            <v>0</v>
          </cell>
          <cell r="S1855">
            <v>0</v>
          </cell>
        </row>
        <row r="1856">
          <cell r="P1856">
            <v>0</v>
          </cell>
          <cell r="S1856">
            <v>0</v>
          </cell>
        </row>
        <row r="1857">
          <cell r="P1857">
            <v>0</v>
          </cell>
          <cell r="S1857">
            <v>0</v>
          </cell>
        </row>
        <row r="1858">
          <cell r="P1858">
            <v>0</v>
          </cell>
          <cell r="S1858">
            <v>0</v>
          </cell>
        </row>
        <row r="1859">
          <cell r="P1859">
            <v>0</v>
          </cell>
          <cell r="S1859">
            <v>0</v>
          </cell>
        </row>
        <row r="1860">
          <cell r="P1860">
            <v>0</v>
          </cell>
          <cell r="S1860">
            <v>0</v>
          </cell>
        </row>
        <row r="1861">
          <cell r="P1861">
            <v>0</v>
          </cell>
          <cell r="S1861">
            <v>0</v>
          </cell>
        </row>
        <row r="1862">
          <cell r="P1862">
            <v>0</v>
          </cell>
          <cell r="S1862">
            <v>0</v>
          </cell>
        </row>
        <row r="1863">
          <cell r="P1863">
            <v>0</v>
          </cell>
          <cell r="S1863">
            <v>0</v>
          </cell>
        </row>
        <row r="1864">
          <cell r="P1864">
            <v>0</v>
          </cell>
          <cell r="S1864">
            <v>0</v>
          </cell>
        </row>
        <row r="1865">
          <cell r="P1865">
            <v>0</v>
          </cell>
          <cell r="S1865">
            <v>0</v>
          </cell>
        </row>
        <row r="1866">
          <cell r="P1866">
            <v>0</v>
          </cell>
          <cell r="S1866">
            <v>0</v>
          </cell>
        </row>
        <row r="1867">
          <cell r="P1867">
            <v>0</v>
          </cell>
          <cell r="S1867">
            <v>0</v>
          </cell>
        </row>
        <row r="1868">
          <cell r="P1868">
            <v>0</v>
          </cell>
          <cell r="S186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DD '18"/>
      <sheetName val="FINANZAS"/>
      <sheetName val="2018"/>
      <sheetName val="oxoxo"/>
      <sheetName val="BDD '19"/>
      <sheetName val="Hoja2"/>
      <sheetName val="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ia Elena Cabeza Valles" refreshedDate="44610.59995787037" createdVersion="4" refreshedVersion="4" minRefreshableVersion="3" recordCount="116">
  <cacheSource type="worksheet">
    <worksheetSource ref="A1:S1312" sheet="PAGOS IMPORTACIONES"/>
  </cacheSource>
  <cacheFields count="19">
    <cacheField name="M #" numFmtId="0">
      <sharedItems containsBlank="1"/>
    </cacheField>
    <cacheField name="grac" numFmtId="0">
      <sharedItems containsBlank="1"/>
    </cacheField>
    <cacheField name="PROVEEDOR" numFmtId="0">
      <sharedItems containsBlank="1"/>
    </cacheField>
    <cacheField name="FACTURA" numFmtId="0">
      <sharedItems containsBlank="1"/>
    </cacheField>
    <cacheField name="#" numFmtId="0">
      <sharedItems containsBlank="1" containsMixedTypes="1" containsNumber="1" containsInteger="1" minValue="20" maxValue="180"/>
    </cacheField>
    <cacheField name="PLAZO VENTA" numFmtId="0">
      <sharedItems containsBlank="1"/>
    </cacheField>
    <cacheField name="AÑO VCTO FACT" numFmtId="0">
      <sharedItems containsString="0" containsBlank="1" containsNumber="1" containsInteger="1" minValue="2020" maxValue="2022" count="3">
        <n v="2020"/>
        <n v="2022"/>
        <m/>
      </sharedItems>
    </cacheField>
    <cacheField name="MES TEXTO" numFmtId="0">
      <sharedItems containsBlank="1" count="8">
        <s v="SETIEMBRE"/>
        <s v="MARZO"/>
        <s v="MAYO"/>
        <s v="FEBRERO"/>
        <s v="ABRIL"/>
        <s v="JUNIO"/>
        <s v="JULIO"/>
        <m/>
      </sharedItems>
    </cacheField>
    <cacheField name="MES VCTO FACT" numFmtId="0">
      <sharedItems containsString="0" containsBlank="1" containsNumber="1" containsInteger="1" minValue="2" maxValue="9"/>
    </cacheField>
    <cacheField name="SEM VTO FACT" numFmtId="0">
      <sharedItems containsString="0" containsBlank="1" containsNumber="1" containsInteger="1" minValue="8" maxValue="37" count="23">
        <n v="37"/>
        <n v="14"/>
        <n v="21"/>
        <n v="11"/>
        <n v="12"/>
        <n v="13"/>
        <n v="10"/>
        <n v="9"/>
        <n v="17"/>
        <n v="20"/>
        <n v="22"/>
        <n v="23"/>
        <n v="8"/>
        <n v="18"/>
        <n v="24"/>
        <n v="15"/>
        <n v="16"/>
        <n v="28"/>
        <n v="25"/>
        <n v="19"/>
        <n v="27"/>
        <n v="31"/>
        <m/>
      </sharedItems>
    </cacheField>
    <cacheField name="FECHA VCTO FACT." numFmtId="0">
      <sharedItems containsNonDate="0" containsDate="1" containsString="0" containsBlank="1" minDate="2020-09-10T00:00:00" maxDate="2022-07-29T00:00:00"/>
    </cacheField>
    <cacheField name="CANTIDAD TM" numFmtId="0">
      <sharedItems containsString="0" containsBlank="1" containsNumber="1" minValue="0.72072000000000003" maxValue="12200"/>
    </cacheField>
    <cacheField name="USD x TM" numFmtId="0">
      <sharedItems containsString="0" containsBlank="1" containsNumber="1" minValue="25.88748" maxValue="13400"/>
    </cacheField>
    <cacheField name="TOTAL" numFmtId="0">
      <sharedItems containsString="0" containsBlank="1" containsNumber="1" minValue="148.85301000000001" maxValue="5783100"/>
    </cacheField>
    <cacheField name="EMBARQUE PROGRAM." numFmtId="0">
      <sharedItems containsNonDate="0" containsDate="1" containsString="0" containsBlank="1" minDate="2020-04-13T00:00:00" maxDate="2022-12-19T00:00:00"/>
    </cacheField>
    <cacheField name="COMENTARIOS" numFmtId="0">
      <sharedItems containsBlank="1"/>
    </cacheField>
    <cacheField name="FECHA ENVÍO INV (FI-CO)" numFmtId="0">
      <sharedItems containsNonDate="0" containsDate="1" containsString="0" containsBlank="1" minDate="2020-09-08T00:00:00" maxDate="2022-02-17T00:00:00"/>
    </cacheField>
    <cacheField name="FIRMA RESP." numFmtId="0">
      <sharedItems containsNonDate="0" containsString="0" containsBlank="1"/>
    </cacheField>
    <cacheField name="FECHA FIRM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s v="MF-054E/20"/>
    <s v="IDAI BROTAVERD X 1 LT"/>
    <s v="IDAI NATURE"/>
    <s v="FV204E000045"/>
    <n v="150"/>
    <s v="días BL"/>
    <x v="0"/>
    <x v="0"/>
    <n v="9"/>
    <x v="0"/>
    <d v="2020-09-10T00:00:00"/>
    <n v="0.94247999999999998"/>
    <n v="8631.0748262048255"/>
    <n v="8134.6154022015235"/>
    <d v="2020-04-13T00:00:00"/>
    <s v="PAGAR CON OK DE JORGE"/>
    <d v="2020-09-08T00:00:00"/>
    <m/>
    <m/>
  </r>
  <r>
    <s v="MF-054G/20"/>
    <s v="VEGEX PROTOIL X 1L"/>
    <s v="IDAI NATURE"/>
    <s v="FV204E000045"/>
    <n v="150"/>
    <s v="días BL"/>
    <x v="0"/>
    <x v="0"/>
    <n v="9"/>
    <x v="0"/>
    <d v="2020-09-10T00:00:00"/>
    <n v="0.72072000000000003"/>
    <n v="7440.636311190925"/>
    <n v="5362.6154022015235"/>
    <d v="2020-04-13T00:00:00"/>
    <s v="PAGAR CON OK DE JORGE"/>
    <d v="2020-09-08T00:00:00"/>
    <m/>
    <m/>
  </r>
  <r>
    <s v="MF-054H/20"/>
    <s v="NATURDAI S-SYSTEM X 1 LT"/>
    <s v="IDAI NATURE"/>
    <s v="FV204E000045"/>
    <n v="150"/>
    <s v="días BL"/>
    <x v="0"/>
    <x v="0"/>
    <n v="9"/>
    <x v="0"/>
    <d v="2020-09-10T00:00:00"/>
    <n v="0.99"/>
    <n v="9776.7832345469924"/>
    <n v="9679.0154022015231"/>
    <d v="2020-04-13T00:00:00"/>
    <s v="PAGAR CON OK DE JORGE"/>
    <d v="2020-09-08T00:00:00"/>
    <m/>
    <m/>
  </r>
  <r>
    <s v="MF-035.2/21"/>
    <s v="SULFATO DE MAGNESIO HEPTAHIDRATADO "/>
    <s v="STAR GRACE MINING CO.,LTD"/>
    <s v="SG-MSL-12329-34B"/>
    <n v="90"/>
    <s v="días BL"/>
    <x v="1"/>
    <x v="1"/>
    <n v="3"/>
    <x v="1"/>
    <d v="2022-03-30T00:00:00"/>
    <n v="500"/>
    <n v="101"/>
    <n v="50500"/>
    <d v="2021-12-30T00:00:00"/>
    <m/>
    <m/>
    <m/>
    <m/>
  </r>
  <r>
    <s v="MF-074/21"/>
    <s v="ÁCIDO FOSFÓRICO"/>
    <s v="NITRON GROUP LLC"/>
    <m/>
    <n v="90"/>
    <s v="días BL"/>
    <x v="1"/>
    <x v="2"/>
    <n v="5"/>
    <x v="2"/>
    <d v="2022-05-21T00:00:00"/>
    <n v="300"/>
    <n v="1150"/>
    <n v="69000"/>
    <d v="2022-02-20T00:00:00"/>
    <m/>
    <m/>
    <m/>
    <m/>
  </r>
  <r>
    <s v="MF-075/21"/>
    <s v="ÁCIDO FOSFÓRICO"/>
    <s v="NITRON GROUP LLC"/>
    <m/>
    <n v="90"/>
    <s v="días BL"/>
    <x v="1"/>
    <x v="2"/>
    <n v="5"/>
    <x v="2"/>
    <d v="2022-05-21T00:00:00"/>
    <n v="100"/>
    <n v="1170"/>
    <n v="23400"/>
    <d v="2022-02-20T00:00:00"/>
    <m/>
    <m/>
    <m/>
    <m/>
  </r>
  <r>
    <s v="MF-137A/21"/>
    <s v="NITRATO DE POTASIO CRISTALIZADO"/>
    <s v="ACF Minera"/>
    <s v="109"/>
    <n v="30"/>
    <s v="días BL"/>
    <x v="1"/>
    <x v="1"/>
    <n v="3"/>
    <x v="3"/>
    <d v="2022-03-12T00:00:00"/>
    <n v="124.5"/>
    <n v="795"/>
    <n v="98977.5"/>
    <d v="2022-02-10T00:00:00"/>
    <m/>
    <m/>
    <m/>
    <m/>
  </r>
  <r>
    <s v="MF-137B/21"/>
    <s v="NITRATO DE POTASIO CRISTALIZADO"/>
    <s v="ACF Minera"/>
    <s v="121"/>
    <n v="30"/>
    <s v="días BL"/>
    <x v="1"/>
    <x v="1"/>
    <n v="3"/>
    <x v="4"/>
    <d v="2022-03-16T00:00:00"/>
    <n v="124.5"/>
    <n v="795"/>
    <n v="98977.5"/>
    <d v="2022-02-14T00:00:00"/>
    <m/>
    <m/>
    <m/>
    <m/>
  </r>
  <r>
    <s v="MF-137C/21"/>
    <s v="NITRATO DE POTASIO CRISTALIZADO"/>
    <s v="ACF Minera"/>
    <s v="120"/>
    <n v="30"/>
    <s v="días BL"/>
    <x v="1"/>
    <x v="1"/>
    <n v="3"/>
    <x v="5"/>
    <d v="2022-03-23T00:00:00"/>
    <n v="124.5"/>
    <n v="795"/>
    <n v="98977.5"/>
    <d v="2022-02-21T00:00:00"/>
    <m/>
    <m/>
    <m/>
    <m/>
  </r>
  <r>
    <s v="MF-137D/21"/>
    <s v="NITRATO DE POTASIO CRISTALIZADO"/>
    <s v="ACF Minera"/>
    <s v="122"/>
    <n v="30"/>
    <s v="días BL"/>
    <x v="1"/>
    <x v="1"/>
    <n v="3"/>
    <x v="1"/>
    <d v="2022-03-30T00:00:00"/>
    <n v="124.5"/>
    <n v="795"/>
    <n v="98977.5"/>
    <d v="2022-02-28T00:00:00"/>
    <m/>
    <m/>
    <m/>
    <m/>
  </r>
  <r>
    <s v="MF-139/21"/>
    <s v="SULFATO DE POTASIO SOLUBLE"/>
    <s v="WEGROW AG"/>
    <s v="5000851"/>
    <n v="90"/>
    <s v="días BL"/>
    <x v="1"/>
    <x v="1"/>
    <n v="3"/>
    <x v="3"/>
    <d v="2022-03-11T00:00:00"/>
    <n v="5000.3999999999996"/>
    <n v="785.18"/>
    <n v="3926214.0719999997"/>
    <d v="2021-12-11T00:00:00"/>
    <m/>
    <m/>
    <m/>
    <m/>
  </r>
  <r>
    <s v="MF-150.4/21"/>
    <s v="ÁCIDO FOSFÓRICO"/>
    <s v="WEGROW AG"/>
    <s v="5000859"/>
    <n v="90"/>
    <s v="días BL"/>
    <x v="1"/>
    <x v="1"/>
    <n v="3"/>
    <x v="4"/>
    <d v="2022-03-17T00:00:00"/>
    <n v="79.8"/>
    <n v="1691"/>
    <n v="134941.79999999999"/>
    <d v="2021-12-17T00:00:00"/>
    <m/>
    <m/>
    <m/>
    <m/>
  </r>
  <r>
    <s v="MF-150.5/21"/>
    <s v="ÁCIDO FOSFÓRICO"/>
    <s v="WEGROW AG"/>
    <s v="5000860"/>
    <n v="90"/>
    <s v="días BL"/>
    <x v="1"/>
    <x v="1"/>
    <n v="3"/>
    <x v="4"/>
    <d v="2022-03-17T00:00:00"/>
    <n v="106.4"/>
    <n v="1691"/>
    <n v="179922.40000000002"/>
    <d v="2021-12-17T00:00:00"/>
    <m/>
    <m/>
    <m/>
    <m/>
  </r>
  <r>
    <s v="MF-166/21"/>
    <s v="YARALIVA NITRABOR A GRANEL"/>
    <s v="YARA PERÚ SRL"/>
    <m/>
    <s v="CAD"/>
    <m/>
    <x v="1"/>
    <x v="1"/>
    <n v="3"/>
    <x v="6"/>
    <d v="2022-03-01T00:00:00"/>
    <n v="108"/>
    <n v="334.22"/>
    <n v="36095.760000000002"/>
    <d v="2022-02-05T00:00:00"/>
    <s v="POR CONFIRMAR PRECIO"/>
    <m/>
    <m/>
    <m/>
  </r>
  <r>
    <s v="MF-167/21"/>
    <s v="YARALIVA NITRABOR A GRANEL"/>
    <s v="YARA PERÚ SRL"/>
    <m/>
    <s v="CAD"/>
    <m/>
    <x v="1"/>
    <x v="3"/>
    <n v="2"/>
    <x v="7"/>
    <d v="2022-02-25T00:00:00"/>
    <n v="27"/>
    <n v="334.22"/>
    <n v="9023.94"/>
    <d v="2022-02-03T00:00:00"/>
    <s v="POR CONFIRMAR PRECIO"/>
    <m/>
    <m/>
    <m/>
  </r>
  <r>
    <s v="MF-190/21"/>
    <s v="SULFATO DE ZINC HEPTAHIDRATADO"/>
    <s v="WEGROW AG"/>
    <s v="5000906"/>
    <n v="90"/>
    <s v="días BL"/>
    <x v="1"/>
    <x v="4"/>
    <n v="4"/>
    <x v="8"/>
    <d v="2022-04-23T00:00:00"/>
    <n v="133.375"/>
    <n v="768"/>
    <n v="102432"/>
    <d v="2022-01-23T00:00:00"/>
    <m/>
    <m/>
    <m/>
    <m/>
  </r>
  <r>
    <s v="MF-192/21"/>
    <s v="FOSFATO DIAMÓNICO GRANULAR"/>
    <s v="TGO Agriculture (USA) Inc. "/>
    <s v="VARIOS"/>
    <n v="120"/>
    <s v="días BL"/>
    <x v="1"/>
    <x v="1"/>
    <n v="3"/>
    <x v="3"/>
    <d v="2022-03-11T00:00:00"/>
    <n v="4676.6894540652811"/>
    <n v="727.01"/>
    <n v="3400000"/>
    <d v="2021-11-02T00:00:00"/>
    <s v="Forfaiting (Equilibra - Banco)"/>
    <d v="2021-11-26T00:00:00"/>
    <m/>
    <m/>
  </r>
  <r>
    <s v="MF-197A.1/21"/>
    <s v="ÁCIDO FOSFÓRICO"/>
    <s v="NITRON GROUP LLC"/>
    <s v="39110"/>
    <n v="90"/>
    <s v="días BL"/>
    <x v="1"/>
    <x v="2"/>
    <n v="5"/>
    <x v="9"/>
    <d v="2022-05-13T00:00:00"/>
    <n v="72"/>
    <n v="1626"/>
    <n v="117072"/>
    <d v="2022-02-12T00:00:00"/>
    <m/>
    <m/>
    <m/>
    <m/>
  </r>
  <r>
    <s v="MF-197A.2/21"/>
    <s v="ÁCIDO FOSFÓRICO"/>
    <s v="NITRON GROUP LLC"/>
    <s v="39169"/>
    <n v="90"/>
    <s v="días BL"/>
    <x v="1"/>
    <x v="2"/>
    <n v="5"/>
    <x v="10"/>
    <d v="2022-05-23T00:00:00"/>
    <n v="120"/>
    <n v="1626"/>
    <n v="195120"/>
    <d v="2022-02-22T00:00:00"/>
    <m/>
    <m/>
    <m/>
    <m/>
  </r>
  <r>
    <s v="MF-197A.3/21"/>
    <s v="ÁCIDO FOSFÓRICO"/>
    <s v="NITRON GROUP LLC"/>
    <s v="39137"/>
    <n v="90"/>
    <s v="días BL"/>
    <x v="1"/>
    <x v="5"/>
    <n v="6"/>
    <x v="11"/>
    <d v="2022-06-01T00:00:00"/>
    <n v="120"/>
    <n v="1626"/>
    <n v="195120"/>
    <d v="2022-03-03T00:00:00"/>
    <m/>
    <m/>
    <m/>
    <m/>
  </r>
  <r>
    <s v="MF-197B/21"/>
    <s v="ÁCIDO FOSFÓRICO"/>
    <s v="NITRON GROUP LLC"/>
    <s v="38657"/>
    <n v="90"/>
    <s v="días BL"/>
    <x v="1"/>
    <x v="1"/>
    <n v="3"/>
    <x v="5"/>
    <d v="2022-03-24T00:00:00"/>
    <n v="408"/>
    <n v="1546"/>
    <n v="630768"/>
    <d v="2021-12-24T00:00:00"/>
    <m/>
    <m/>
    <m/>
    <m/>
  </r>
  <r>
    <s v="MF-202S/21"/>
    <s v="NITRATO DE POTASIO CRISTALIZADO"/>
    <s v="ACF Minera"/>
    <s v="N° 98"/>
    <n v="60"/>
    <s v="días FACT."/>
    <x v="1"/>
    <x v="1"/>
    <n v="3"/>
    <x v="3"/>
    <d v="2022-03-08T00:00:00"/>
    <n v="124.5"/>
    <n v="795"/>
    <n v="98977.5"/>
    <d v="2022-01-10T00:00:00"/>
    <m/>
    <m/>
    <m/>
    <m/>
  </r>
  <r>
    <s v="MF-202T/21"/>
    <s v="NITRATO DE POTASIO CRISTALIZADO"/>
    <s v="ACF Minera"/>
    <s v="N° 99"/>
    <n v="60"/>
    <s v="días FACT."/>
    <x v="1"/>
    <x v="1"/>
    <n v="3"/>
    <x v="3"/>
    <d v="2022-03-08T00:00:00"/>
    <n v="124.5"/>
    <n v="795"/>
    <n v="98977.5"/>
    <d v="2022-01-10T00:00:00"/>
    <m/>
    <m/>
    <m/>
    <m/>
  </r>
  <r>
    <s v="MF-202U/21"/>
    <s v="NITRATO DE POTASIO CRISTALIZADO"/>
    <s v="ACF Minera"/>
    <s v="N° 106"/>
    <n v="60"/>
    <s v="días FACT."/>
    <x v="1"/>
    <x v="1"/>
    <n v="3"/>
    <x v="4"/>
    <d v="2022-03-15T00:00:00"/>
    <n v="124.5"/>
    <n v="795"/>
    <n v="98977.5"/>
    <d v="2022-01-17T00:00:00"/>
    <m/>
    <m/>
    <m/>
    <m/>
  </r>
  <r>
    <s v="MF-202V/21"/>
    <s v="NITRATO DE POTASIO CRISTALIZADO"/>
    <s v="ACF Minera"/>
    <s v="N° 107"/>
    <n v="60"/>
    <s v="días FACT."/>
    <x v="1"/>
    <x v="1"/>
    <n v="3"/>
    <x v="4"/>
    <d v="2022-03-15T00:00:00"/>
    <n v="124.5"/>
    <n v="795"/>
    <n v="98977.5"/>
    <d v="2022-01-17T00:00:00"/>
    <m/>
    <m/>
    <m/>
    <m/>
  </r>
  <r>
    <s v="MF-202W/21"/>
    <s v="NITRATO DE POTASIO CRISTALIZADO"/>
    <s v="ACF Minera"/>
    <s v="N° 110"/>
    <n v="60"/>
    <s v="días FACT."/>
    <x v="1"/>
    <x v="1"/>
    <n v="3"/>
    <x v="5"/>
    <d v="2022-03-20T00:00:00"/>
    <n v="140"/>
    <n v="795"/>
    <n v="111300"/>
    <d v="2022-01-24T00:00:00"/>
    <m/>
    <m/>
    <m/>
    <m/>
  </r>
  <r>
    <s v="MF-202X/21"/>
    <s v="NITRATO DE POTASIO CRISTALIZADO"/>
    <s v="ACF Minera"/>
    <s v="N° 112"/>
    <n v="60"/>
    <s v="días FACT."/>
    <x v="1"/>
    <x v="1"/>
    <n v="3"/>
    <x v="5"/>
    <d v="2022-03-20T00:00:00"/>
    <n v="140"/>
    <n v="795"/>
    <n v="111300"/>
    <d v="2022-01-24T00:00:00"/>
    <m/>
    <m/>
    <m/>
    <m/>
  </r>
  <r>
    <s v="MF-202Y/21"/>
    <s v="NITRATO DE POTASIO CRISTALIZADO"/>
    <s v="ACF Minera"/>
    <s v="N° 113"/>
    <n v="60"/>
    <s v="días FACT."/>
    <x v="1"/>
    <x v="1"/>
    <n v="3"/>
    <x v="5"/>
    <d v="2022-03-20T00:00:00"/>
    <n v="140"/>
    <n v="795"/>
    <n v="111300"/>
    <d v="2022-01-31T00:00:00"/>
    <m/>
    <m/>
    <m/>
    <m/>
  </r>
  <r>
    <s v="MF-202Y/21"/>
    <s v="NITRATO DE POTASIO CRISTALIZADO"/>
    <s v="ACF Minera"/>
    <s v="N° 114"/>
    <n v="60"/>
    <s v="días FACT."/>
    <x v="1"/>
    <x v="1"/>
    <n v="3"/>
    <x v="5"/>
    <d v="2022-03-20T00:00:00"/>
    <n v="84"/>
    <n v="795"/>
    <n v="66780"/>
    <d v="2022-01-31T00:00:00"/>
    <m/>
    <m/>
    <m/>
    <m/>
  </r>
  <r>
    <s v="MF-205/21"/>
    <s v="SULFATO DE MAGNESIO HEPTAHIDRATADO "/>
    <s v="STAR GRACE MINING CO.,LTD"/>
    <s v="SG-MSL-12329-40"/>
    <n v="90"/>
    <s v="días BL"/>
    <x v="1"/>
    <x v="3"/>
    <n v="2"/>
    <x v="12"/>
    <d v="2022-02-18T00:00:00"/>
    <n v="1500"/>
    <n v="262"/>
    <n v="393000"/>
    <d v="2021-11-20T00:00:00"/>
    <s v="CONFIRMAR PAGO"/>
    <d v="2022-02-08T00:00:00"/>
    <m/>
    <m/>
  </r>
  <r>
    <s v="MF-206/21"/>
    <s v="NITRATO DE AMONIO"/>
    <s v="URALCHEM (MITSUI)"/>
    <s v="VARIOS"/>
    <n v="150"/>
    <s v="días BL"/>
    <x v="1"/>
    <x v="1"/>
    <n v="3"/>
    <x v="3"/>
    <d v="2022-03-12T00:00:00"/>
    <n v="6300"/>
    <n v="443.88"/>
    <n v="2796444"/>
    <d v="2021-10-13T00:00:00"/>
    <s v="Trade Finance"/>
    <m/>
    <m/>
    <m/>
  </r>
  <r>
    <s v="MF-208/21"/>
    <s v="UREA PERLADA"/>
    <s v="URALCHEM (MITSUI)"/>
    <s v="VARIOS"/>
    <n v="150"/>
    <s v="días BL"/>
    <x v="1"/>
    <x v="1"/>
    <n v="3"/>
    <x v="3"/>
    <d v="2022-03-12T00:00:00"/>
    <n v="2700"/>
    <n v="573.24"/>
    <n v="1547748"/>
    <d v="2021-10-13T00:00:00"/>
    <s v="Trade Finance"/>
    <m/>
    <m/>
    <m/>
  </r>
  <r>
    <s v="MF-214A/21"/>
    <s v="PEKACID"/>
    <s v="ICL EUROPE COOPERATIEF U.A."/>
    <s v="202152716"/>
    <n v="150"/>
    <s v="días BL"/>
    <x v="1"/>
    <x v="1"/>
    <n v="3"/>
    <x v="1"/>
    <d v="2022-03-28T00:00:00"/>
    <n v="49"/>
    <n v="2100"/>
    <n v="102900"/>
    <d v="2021-10-29T00:00:00"/>
    <m/>
    <m/>
    <m/>
    <m/>
  </r>
  <r>
    <s v="MF-214B/21"/>
    <s v="PEKACID"/>
    <s v="ICL EUROPE COOPERATIEF U.A."/>
    <s v="202152934"/>
    <n v="150"/>
    <s v="días BL"/>
    <x v="1"/>
    <x v="4"/>
    <n v="4"/>
    <x v="13"/>
    <d v="2022-04-25T00:00:00"/>
    <n v="49"/>
    <n v="2100"/>
    <n v="102900"/>
    <d v="2021-11-26T00:00:00"/>
    <m/>
    <m/>
    <m/>
    <m/>
  </r>
  <r>
    <s v="MF-216B/21"/>
    <s v="YARATERA CALCINIT X 25KG"/>
    <s v="YARA PERÚ SRL"/>
    <s v="F200-43255"/>
    <n v="30"/>
    <s v="días FACT."/>
    <x v="1"/>
    <x v="3"/>
    <n v="2"/>
    <x v="7"/>
    <d v="2022-02-25T00:00:00"/>
    <n v="168"/>
    <n v="320"/>
    <n v="53760"/>
    <d v="2022-12-18T00:00:00"/>
    <m/>
    <d v="2022-02-08T00:00:00"/>
    <m/>
    <m/>
  </r>
  <r>
    <s v="MF-218/21"/>
    <s v="UREA FOSFATADA X 25KG"/>
    <s v="WEGROW AG"/>
    <s v="5000867"/>
    <n v="90"/>
    <s v="días BL"/>
    <x v="1"/>
    <x v="1"/>
    <n v="3"/>
    <x v="1"/>
    <d v="2022-03-30T00:00:00"/>
    <n v="101.25"/>
    <n v="1048"/>
    <n v="106110"/>
    <d v="2021-12-30T00:00:00"/>
    <m/>
    <m/>
    <m/>
    <m/>
  </r>
  <r>
    <s v="MF-219B.2/21"/>
    <s v="POLISULFATO GRANULADO"/>
    <s v="ICL EUROPE COOPERATIEF U.A."/>
    <m/>
    <s v="CAD"/>
    <m/>
    <x v="1"/>
    <x v="1"/>
    <n v="3"/>
    <x v="3"/>
    <d v="2022-03-09T00:00:00"/>
    <n v="84"/>
    <n v="347.36"/>
    <n v="29178.240000000002"/>
    <d v="2022-03-02T00:00:00"/>
    <m/>
    <m/>
    <m/>
    <m/>
  </r>
  <r>
    <s v="MF-227/21"/>
    <s v="ÁCIDO FOSFÓRICO"/>
    <s v="NITRON GROUP LLC"/>
    <m/>
    <n v="90"/>
    <s v="días BL"/>
    <x v="1"/>
    <x v="5"/>
    <n v="6"/>
    <x v="14"/>
    <d v="2022-06-08T00:00:00"/>
    <n v="312"/>
    <n v="1826"/>
    <n v="569712"/>
    <d v="2022-03-10T00:00:00"/>
    <m/>
    <m/>
    <m/>
    <m/>
  </r>
  <r>
    <s v="MF-233/21"/>
    <s v="YARATERA CALCINIT X 25KG"/>
    <s v="YARA PERÚ SRL"/>
    <m/>
    <n v="30"/>
    <s v="días FACT."/>
    <x v="1"/>
    <x v="1"/>
    <n v="3"/>
    <x v="4"/>
    <d v="2022-03-13T00:00:00"/>
    <n v="552"/>
    <n v="296.06"/>
    <n v="163425.12"/>
    <d v="2022-02-11T00:00:00"/>
    <m/>
    <m/>
    <m/>
    <m/>
  </r>
  <r>
    <s v="MF-237/21"/>
    <s v="SULFATO DE MAGNESIO MONOHIDRATADO GRANULAR (KIESERITA)"/>
    <s v="CHENGDU ROCCA CO.,LTD"/>
    <s v="21JEQ002"/>
    <n v="90"/>
    <s v="días BL"/>
    <x v="1"/>
    <x v="4"/>
    <n v="4"/>
    <x v="8"/>
    <d v="2022-04-23T00:00:00"/>
    <n v="400"/>
    <n v="339"/>
    <n v="135600"/>
    <d v="2022-01-23T00:00:00"/>
    <m/>
    <m/>
    <m/>
    <m/>
  </r>
  <r>
    <s v="MF-238/21"/>
    <s v="SULFATO DE MAGNESIO HEPTAHIDRATADO "/>
    <s v="STAR GRACE MINING CO.,LTD"/>
    <s v="SG-MSL-12329-41"/>
    <n v="90"/>
    <s v="días BL"/>
    <x v="1"/>
    <x v="1"/>
    <n v="3"/>
    <x v="4"/>
    <d v="2022-03-17T00:00:00"/>
    <n v="1700"/>
    <n v="313"/>
    <n v="532100"/>
    <d v="2021-12-17T00:00:00"/>
    <m/>
    <m/>
    <m/>
    <m/>
  </r>
  <r>
    <s v="MF-241/21"/>
    <s v="NITRATO DE AMONIO"/>
    <s v="URALCHEM (MITSUI)"/>
    <s v="VARIOS"/>
    <n v="150"/>
    <s v="días BL"/>
    <x v="1"/>
    <x v="4"/>
    <n v="4"/>
    <x v="15"/>
    <d v="2022-04-08T00:00:00"/>
    <n v="12200"/>
    <n v="771.08"/>
    <n v="5783100"/>
    <d v="2021-11-09T00:00:00"/>
    <s v="Trade Finance (Por 7500tm)"/>
    <m/>
    <m/>
    <m/>
  </r>
  <r>
    <s v="MF-242/21"/>
    <s v="YARAMILA INTEGRADOR NPK 15-09-20"/>
    <s v="YARA PERÚ SRL"/>
    <m/>
    <n v="60"/>
    <s v="días FACT."/>
    <x v="1"/>
    <x v="1"/>
    <n v="3"/>
    <x v="5"/>
    <d v="2022-03-22T00:00:00"/>
    <n v="222.1"/>
    <n v="791"/>
    <n v="175681.1"/>
    <d v="2022-01-21T00:00:00"/>
    <m/>
    <m/>
    <m/>
    <m/>
  </r>
  <r>
    <s v="MF-243/21"/>
    <s v="YARAMILA INTEGRADOR NPK 15-09-20"/>
    <s v="YARA PERÚ SRL"/>
    <m/>
    <n v="60"/>
    <s v="días FACT."/>
    <x v="1"/>
    <x v="1"/>
    <n v="3"/>
    <x v="5"/>
    <d v="2022-03-23T00:00:00"/>
    <n v="220"/>
    <n v="806"/>
    <n v="177320"/>
    <d v="2022-01-22T00:00:00"/>
    <m/>
    <m/>
    <m/>
    <m/>
  </r>
  <r>
    <s v="MF-247.1/21"/>
    <s v="FOSFATO MONOAMÓNICO CRISTALIZADO"/>
    <s v="CHENGDU ROCCA CO.,LTD"/>
    <s v="21JEQ003"/>
    <n v="150"/>
    <s v="días BL"/>
    <x v="1"/>
    <x v="2"/>
    <n v="5"/>
    <x v="2"/>
    <d v="2022-05-19T00:00:00"/>
    <n v="400"/>
    <n v="1142"/>
    <n v="456800"/>
    <d v="2021-12-20T00:00:00"/>
    <m/>
    <m/>
    <m/>
    <m/>
  </r>
  <r>
    <s v="MF-247.2/21"/>
    <s v="FOSFATO MONOAMÓNICO CRISTALIZADO"/>
    <s v="CHENGDU ROCCA CO.,LTD"/>
    <s v="21JEQ003"/>
    <n v="150"/>
    <s v="días BL"/>
    <x v="1"/>
    <x v="5"/>
    <n v="6"/>
    <x v="14"/>
    <d v="2022-06-09T00:00:00"/>
    <n v="400"/>
    <n v="1142"/>
    <n v="456800"/>
    <d v="2022-01-10T00:00:00"/>
    <m/>
    <m/>
    <m/>
    <m/>
  </r>
  <r>
    <s v="MF-248/21"/>
    <s v="SAL DOBLE DE NITRATO DE CALCIO Y AMONIO"/>
    <s v="CHENGDU ROCCA CO.,LTD"/>
    <s v="21JEQ004"/>
    <n v="90"/>
    <s v="días BL"/>
    <x v="1"/>
    <x v="4"/>
    <n v="4"/>
    <x v="16"/>
    <d v="2022-04-10T00:00:00"/>
    <n v="3000"/>
    <n v="435"/>
    <n v="1305000"/>
    <d v="2022-01-10T00:00:00"/>
    <m/>
    <m/>
    <m/>
    <m/>
  </r>
  <r>
    <s v="MF-250.4/21"/>
    <s v="YARATERA CALCINIT X 25KG"/>
    <s v="YARA PERÚ SRL"/>
    <s v="F200-43261"/>
    <n v="30"/>
    <s v="días FACT."/>
    <x v="1"/>
    <x v="1"/>
    <n v="3"/>
    <x v="6"/>
    <d v="2022-03-02T00:00:00"/>
    <n v="216"/>
    <n v="372.44"/>
    <n v="80447.039999999994"/>
    <d v="2022-01-28T00:00:00"/>
    <m/>
    <m/>
    <m/>
    <m/>
  </r>
  <r>
    <s v="MF-254.2/21"/>
    <s v="YARALIVA NITRABOR X25 KG"/>
    <s v="YARA PERÚ SRL"/>
    <m/>
    <s v="CAD"/>
    <m/>
    <x v="1"/>
    <x v="1"/>
    <n v="3"/>
    <x v="6"/>
    <d v="2022-03-01T00:00:00"/>
    <n v="27"/>
    <n v="334.22"/>
    <n v="9023.94"/>
    <d v="2022-02-22T00:00:00"/>
    <s v="POR CONFIRMAR PRECIO"/>
    <m/>
    <m/>
    <m/>
  </r>
  <r>
    <s v="MF-256.2/21"/>
    <s v="VALUCID PK"/>
    <s v="VALUDOR Products LLC"/>
    <m/>
    <n v="60"/>
    <s v="días BL"/>
    <x v="1"/>
    <x v="4"/>
    <n v="4"/>
    <x v="16"/>
    <d v="2022-04-15T00:00:00"/>
    <n v="195"/>
    <n v="2975"/>
    <n v="580125"/>
    <d v="2022-02-14T00:00:00"/>
    <m/>
    <m/>
    <m/>
    <m/>
  </r>
  <r>
    <s v="MF-257/21"/>
    <s v="SULFATO DE AMONIO ESTÁNDAR"/>
    <s v="TGO Agriculture (USA) Inc. "/>
    <s v="VARIOS"/>
    <n v="180"/>
    <s v="días BL"/>
    <x v="1"/>
    <x v="6"/>
    <n v="7"/>
    <x v="17"/>
    <d v="2022-07-09T00:00:00"/>
    <n v="7150"/>
    <n v="516.42999999999995"/>
    <n v="3692474.4999999995"/>
    <d v="2022-01-10T00:00:00"/>
    <s v="FORFAITING  "/>
    <d v="2022-01-18T00:00:00"/>
    <m/>
    <m/>
  </r>
  <r>
    <s v="MF-258/21"/>
    <s v="SULFATO DE AMONIO BLANCO GRANULAR"/>
    <s v="TGO Agriculture (USA) Inc. "/>
    <s v="VARIOS"/>
    <n v="180"/>
    <s v="días BL"/>
    <x v="1"/>
    <x v="6"/>
    <n v="7"/>
    <x v="17"/>
    <d v="2022-07-09T00:00:00"/>
    <n v="550"/>
    <n v="602.5"/>
    <n v="331375"/>
    <d v="2022-01-10T00:00:00"/>
    <s v="FORFAITING  "/>
    <d v="2022-01-18T00:00:00"/>
    <m/>
    <m/>
  </r>
  <r>
    <s v="MF-259/21"/>
    <s v="NITRATO DE MAGNESIO HEXAHIDRATADO"/>
    <s v="STAR GRACE MINING CO.,LTD"/>
    <s v="SG-MNL-12329-42"/>
    <n v="90"/>
    <s v="días BL"/>
    <x v="1"/>
    <x v="1"/>
    <n v="3"/>
    <x v="1"/>
    <d v="2022-03-30T00:00:00"/>
    <n v="700"/>
    <n v="449"/>
    <n v="314300"/>
    <d v="2021-12-30T00:00:00"/>
    <m/>
    <m/>
    <m/>
    <m/>
  </r>
  <r>
    <s v="MF-260.1/21"/>
    <s v="SULFATO DE MAGNESIO HEPTAHIDRATADO "/>
    <s v="STAR GRACE MINING CO.,LTD"/>
    <s v="SG-MSL-12329-43A"/>
    <n v="90"/>
    <s v="días BL"/>
    <x v="1"/>
    <x v="1"/>
    <n v="3"/>
    <x v="4"/>
    <d v="2022-03-17T00:00:00"/>
    <n v="1340"/>
    <n v="311"/>
    <n v="416740"/>
    <d v="2021-12-17T00:00:00"/>
    <m/>
    <m/>
    <m/>
    <m/>
  </r>
  <r>
    <s v="MF-260.2/21"/>
    <s v="SULFATO DE MAGNESIO HEPTAHIDRATADO "/>
    <s v="STAR GRACE MINING CO.,LTD"/>
    <s v="SG-MSL-12329-43"/>
    <n v="90"/>
    <s v="días BL"/>
    <x v="1"/>
    <x v="4"/>
    <n v="4"/>
    <x v="15"/>
    <d v="2022-04-07T00:00:00"/>
    <n v="1460"/>
    <n v="311"/>
    <n v="454060"/>
    <d v="2022-01-07T00:00:00"/>
    <m/>
    <m/>
    <m/>
    <m/>
  </r>
  <r>
    <s v="MF-261A/21"/>
    <s v="SULFATO DE POTASIO SOLUBLE"/>
    <s v="WEGROW AG"/>
    <m/>
    <s v="CAD"/>
    <m/>
    <x v="1"/>
    <x v="1"/>
    <n v="3"/>
    <x v="3"/>
    <d v="2022-03-07T00:00:00"/>
    <n v="3000"/>
    <n v="1028.5"/>
    <n v="3085500"/>
    <d v="2022-02-28T00:00:00"/>
    <m/>
    <m/>
    <m/>
    <m/>
  </r>
  <r>
    <s v="MF-261B/21"/>
    <s v="SULFATO DE POTASIO SOLUBLE"/>
    <s v="WEGROW AG"/>
    <m/>
    <s v="CAD"/>
    <m/>
    <x v="1"/>
    <x v="1"/>
    <n v="3"/>
    <x v="3"/>
    <d v="2022-03-07T00:00:00"/>
    <n v="2000"/>
    <n v="1028.5"/>
    <n v="2057000"/>
    <d v="2022-02-28T00:00:00"/>
    <m/>
    <m/>
    <m/>
    <m/>
  </r>
  <r>
    <s v="MF-263/21"/>
    <s v="NYIELD ADITIVO"/>
    <s v="WEGROW AG"/>
    <s v="20210695"/>
    <n v="90"/>
    <s v="días BL"/>
    <x v="1"/>
    <x v="1"/>
    <n v="3"/>
    <x v="1"/>
    <d v="2022-03-27T00:00:00"/>
    <n v="10"/>
    <n v="13400"/>
    <n v="134000"/>
    <d v="2021-12-27T00:00:00"/>
    <m/>
    <m/>
    <m/>
    <m/>
  </r>
  <r>
    <s v="MF-266/21"/>
    <s v="C-BIO CPS X 10 LT"/>
    <s v="C&amp;B AGRI ENTERPRISE LTD"/>
    <s v="INV220010"/>
    <n v="90"/>
    <s v="días BL"/>
    <x v="1"/>
    <x v="4"/>
    <n v="4"/>
    <x v="8"/>
    <d v="2022-04-18T00:00:00"/>
    <n v="5.75"/>
    <n v="25.88748"/>
    <n v="148.85301000000001"/>
    <d v="2022-01-18T00:00:00"/>
    <m/>
    <m/>
    <m/>
    <m/>
  </r>
  <r>
    <s v="MF-267/21"/>
    <s v="YARAVITA CROP BOOST x 1 LT"/>
    <s v="YARA PERÚ SRL"/>
    <m/>
    <s v="CAD"/>
    <m/>
    <x v="1"/>
    <x v="1"/>
    <n v="3"/>
    <x v="1"/>
    <d v="2022-03-30T00:00:00"/>
    <n v="5.9004000000000003"/>
    <n v="6050"/>
    <n v="35697.42"/>
    <d v="2022-03-23T00:00:00"/>
    <m/>
    <m/>
    <m/>
    <m/>
  </r>
  <r>
    <s v="MF-268/21"/>
    <s v="YARAVITA CROP BOOST x 10 LT"/>
    <s v="YARA PERÚ SRL"/>
    <m/>
    <s v="CAD"/>
    <m/>
    <x v="1"/>
    <x v="1"/>
    <n v="3"/>
    <x v="1"/>
    <d v="2022-03-30T00:00:00"/>
    <n v="5.8109999999999999"/>
    <n v="5300"/>
    <n v="30798.3"/>
    <d v="2022-03-23T00:00:00"/>
    <m/>
    <m/>
    <m/>
    <m/>
  </r>
  <r>
    <s v="MF-269/21"/>
    <s v="YARAVITA BUD BUILDER x 10 LT"/>
    <s v="YARA PERÚ SRL"/>
    <m/>
    <s v="CAD"/>
    <m/>
    <x v="1"/>
    <x v="1"/>
    <n v="3"/>
    <x v="1"/>
    <d v="2022-03-30T00:00:00"/>
    <n v="1.92"/>
    <n v="5600"/>
    <n v="10752"/>
    <d v="2022-03-23T00:00:00"/>
    <m/>
    <m/>
    <m/>
    <m/>
  </r>
  <r>
    <s v="MF-271A/21"/>
    <s v="YARAMILA TRISTAR NKP 15-15-15 X50KG"/>
    <s v="YARA PERÚ SRL"/>
    <m/>
    <s v="CAD"/>
    <m/>
    <x v="1"/>
    <x v="3"/>
    <n v="2"/>
    <x v="7"/>
    <d v="2022-02-25T00:00:00"/>
    <n v="66"/>
    <n v="825"/>
    <n v="54450"/>
    <d v="2022-02-11T00:00:00"/>
    <m/>
    <d v="2022-02-15T00:00:00"/>
    <m/>
    <m/>
  </r>
  <r>
    <s v="MF-272/21"/>
    <s v="ÁCIDO FOSFÓRICO"/>
    <s v="Al-Afaq for Agricultural Materials Trade Company"/>
    <m/>
    <s v="L/C"/>
    <m/>
    <x v="1"/>
    <x v="2"/>
    <n v="5"/>
    <x v="11"/>
    <d v="2022-05-29T00:00:00"/>
    <n v="1200"/>
    <n v="1384"/>
    <n v="1660800"/>
    <d v="2022-02-28T00:00:00"/>
    <m/>
    <m/>
    <m/>
    <m/>
  </r>
  <r>
    <s v="MF-273A/21"/>
    <s v="NITRATO DE POTASIO CRISTALIZADO"/>
    <s v="KINGENTA"/>
    <s v="KINGENTA-20211210TA"/>
    <s v="L/C"/>
    <m/>
    <x v="1"/>
    <x v="3"/>
    <n v="2"/>
    <x v="12"/>
    <d v="2022-02-15T00:00:00"/>
    <n v="540"/>
    <n v="1495"/>
    <n v="807300"/>
    <d v="2022-01-22T00:00:00"/>
    <s v="Confirmar pago del banco"/>
    <d v="2022-01-14T00:00:00"/>
    <m/>
    <m/>
  </r>
  <r>
    <s v="MF-273B/21"/>
    <s v="NITRATO DE POTASIO CRISTALIZADO"/>
    <s v="KINGENTA"/>
    <m/>
    <s v="L/C"/>
    <m/>
    <x v="1"/>
    <x v="1"/>
    <n v="3"/>
    <x v="6"/>
    <d v="2022-03-05T00:00:00"/>
    <n v="972"/>
    <n v="1495"/>
    <n v="1453140"/>
    <d v="2022-03-01T00:00:00"/>
    <m/>
    <m/>
    <m/>
    <m/>
  </r>
  <r>
    <s v="MF-274/21"/>
    <s v="ÁCIDO FOSFÓRICO"/>
    <s v="NITRON GROUP LLC"/>
    <m/>
    <n v="90"/>
    <s v="días BL"/>
    <x v="1"/>
    <x v="5"/>
    <n v="6"/>
    <x v="14"/>
    <d v="2022-06-08T00:00:00"/>
    <n v="688"/>
    <n v="2178"/>
    <n v="1498464"/>
    <d v="2022-03-10T00:00:00"/>
    <m/>
    <m/>
    <m/>
    <m/>
  </r>
  <r>
    <s v="MF-275/21"/>
    <s v="NITRATO DE MAGNESIO HEXAHIDRATADO"/>
    <s v="STAR GRACE MINING CO.,LTD"/>
    <s v="SG-MNL-12329-44"/>
    <n v="90"/>
    <s v="días BL"/>
    <x v="1"/>
    <x v="4"/>
    <n v="4"/>
    <x v="15"/>
    <d v="2022-04-07T00:00:00"/>
    <n v="400"/>
    <n v="448"/>
    <n v="179200"/>
    <d v="2022-01-07T00:00:00"/>
    <m/>
    <m/>
    <m/>
    <m/>
  </r>
  <r>
    <s v="MF-276/21"/>
    <s v="FOSFATO MONOAMÓNICO CRISTALIZADO"/>
    <s v="CHENGDU ROCCA CO.,LTD"/>
    <m/>
    <n v="90"/>
    <s v="días BL"/>
    <x v="1"/>
    <x v="5"/>
    <n v="6"/>
    <x v="18"/>
    <d v="2022-06-13T00:00:00"/>
    <n v="1500"/>
    <n v="1315"/>
    <n v="1972500"/>
    <d v="2022-03-15T00:00:00"/>
    <m/>
    <m/>
    <m/>
    <m/>
  </r>
  <r>
    <s v="MF-278/21"/>
    <s v="POLISULFATO GRANULADO"/>
    <s v="ICL EUROPE COOPERATIEF U.A."/>
    <m/>
    <s v="CAD"/>
    <m/>
    <x v="1"/>
    <x v="1"/>
    <n v="3"/>
    <x v="3"/>
    <d v="2022-03-09T00:00:00"/>
    <n v="392"/>
    <n v="405"/>
    <n v="158760"/>
    <d v="2022-03-02T00:00:00"/>
    <m/>
    <m/>
    <m/>
    <m/>
  </r>
  <r>
    <s v="MF-279/21"/>
    <s v="NITRATO CALCIO POLVO SOL"/>
    <s v="CHENGDU ROCCA CO.,LTD"/>
    <m/>
    <n v="90"/>
    <s v="días BL"/>
    <x v="1"/>
    <x v="5"/>
    <n v="6"/>
    <x v="18"/>
    <d v="2022-06-13T00:00:00"/>
    <n v="3000"/>
    <n v="435"/>
    <n v="1305000"/>
    <d v="2022-03-15T00:00:00"/>
    <m/>
    <m/>
    <m/>
    <m/>
  </r>
  <r>
    <s v="MF-280/21"/>
    <s v="NITRATO DE POTASIO CRISTALIZADO ÁCIDO X25KG"/>
    <s v="ACF Minera"/>
    <s v="117"/>
    <n v="60"/>
    <s v="días FACT."/>
    <x v="1"/>
    <x v="1"/>
    <n v="3"/>
    <x v="1"/>
    <d v="2022-03-27T00:00:00"/>
    <n v="100"/>
    <n v="1300"/>
    <n v="130000"/>
    <d v="2022-02-01T00:00:00"/>
    <m/>
    <m/>
    <m/>
    <m/>
  </r>
  <r>
    <s v="MF-281/21"/>
    <s v="YARAMILA INTEGRADOR NPK 15-09-20"/>
    <s v="YARA PERÚ SRL"/>
    <s v="F200-43265"/>
    <s v="CAD"/>
    <m/>
    <x v="1"/>
    <x v="3"/>
    <n v="2"/>
    <x v="7"/>
    <d v="2022-02-21T00:00:00"/>
    <n v="220"/>
    <n v="923.96"/>
    <n v="203271.2"/>
    <d v="2022-02-11T00:00:00"/>
    <m/>
    <d v="2022-02-15T00:00:00"/>
    <m/>
    <m/>
  </r>
  <r>
    <s v="MF-284A/21"/>
    <s v="SULFATO DE MAGNESIO HEPTAHIDRATADO "/>
    <s v="TGO Agriculture (USA) Inc. "/>
    <s v="VARIOS"/>
    <n v="180"/>
    <s v="días BL"/>
    <x v="1"/>
    <x v="6"/>
    <n v="7"/>
    <x v="17"/>
    <d v="2022-07-09T00:00:00"/>
    <n v="1300"/>
    <n v="313.91000000000003"/>
    <n v="408083.00000000006"/>
    <d v="2022-01-10T00:00:00"/>
    <s v="FORFAITING  "/>
    <d v="2022-01-18T00:00:00"/>
    <m/>
    <m/>
  </r>
  <r>
    <s v="MF-284B/21"/>
    <s v="SULFATO DE MAGNESIO HEPTAHIDRATADO "/>
    <s v="TGO Agriculture (USA) Inc. "/>
    <s v="VARIOS"/>
    <n v="180"/>
    <s v="días BL"/>
    <x v="1"/>
    <x v="6"/>
    <n v="7"/>
    <x v="17"/>
    <d v="2022-07-09T00:00:00"/>
    <n v="1700"/>
    <n v="313.91000000000003"/>
    <n v="533647"/>
    <d v="2022-01-10T00:00:00"/>
    <s v="FORFAITING  "/>
    <d v="2022-01-18T00:00:00"/>
    <m/>
    <m/>
  </r>
  <r>
    <s v="MF-285A/21"/>
    <s v="SULFATO FERROSO HEPTAHIDRATADO"/>
    <s v="TGO Agriculture (USA) Inc. "/>
    <s v="VARIOS"/>
    <n v="180"/>
    <s v="días BL"/>
    <x v="1"/>
    <x v="6"/>
    <n v="7"/>
    <x v="17"/>
    <d v="2022-07-09T00:00:00"/>
    <n v="100"/>
    <n v="313.91000000000003"/>
    <n v="31391.000000000004"/>
    <d v="2022-01-10T00:00:00"/>
    <s v="FORFAITING  "/>
    <d v="2022-01-18T00:00:00"/>
    <m/>
    <m/>
  </r>
  <r>
    <s v="MF-285B/21"/>
    <s v="SULFATO FERROSO HEPTAHIDRATADO"/>
    <s v="TGO Agriculture (USA) Inc. "/>
    <s v="VARIOS"/>
    <n v="180"/>
    <s v="días BL"/>
    <x v="1"/>
    <x v="6"/>
    <n v="7"/>
    <x v="17"/>
    <d v="2022-07-09T00:00:00"/>
    <n v="100"/>
    <n v="313.91000000000003"/>
    <n v="31391.000000000004"/>
    <d v="2022-01-10T00:00:00"/>
    <s v="FORFAITING  "/>
    <d v="2022-01-18T00:00:00"/>
    <m/>
    <m/>
  </r>
  <r>
    <s v="MF-287/21"/>
    <s v="YARALIVA NITRABOR A GRANEL"/>
    <s v="YARA PERÚ SRL"/>
    <m/>
    <s v="CAD"/>
    <m/>
    <x v="1"/>
    <x v="1"/>
    <n v="3"/>
    <x v="3"/>
    <d v="2022-03-09T00:00:00"/>
    <n v="189"/>
    <n v="366.37"/>
    <n v="69243.930000000008"/>
    <d v="2022-03-02T00:00:00"/>
    <s v="POR CONFIRMAR PRECIO"/>
    <m/>
    <m/>
    <m/>
  </r>
  <r>
    <s v="MF-288/21"/>
    <s v="YARALIVA NITRABOR A GRANEL"/>
    <s v="YARA PERÚ SRL"/>
    <m/>
    <s v="CAD"/>
    <m/>
    <x v="1"/>
    <x v="3"/>
    <n v="2"/>
    <x v="6"/>
    <d v="2022-02-28T00:00:00"/>
    <n v="27"/>
    <n v="366.37"/>
    <n v="9891.99"/>
    <d v="2022-02-16T00:00:00"/>
    <s v="POR CONFIRMAR PRECIO"/>
    <m/>
    <m/>
    <m/>
  </r>
  <r>
    <s v="MF-289/21"/>
    <s v="YARALIVA NITRABOR A GRANEL"/>
    <s v="YARA PERÚ SRL"/>
    <m/>
    <s v="CAD"/>
    <m/>
    <x v="1"/>
    <x v="1"/>
    <n v="3"/>
    <x v="1"/>
    <d v="2022-03-30T00:00:00"/>
    <n v="135"/>
    <n v="366.37"/>
    <n v="49459.95"/>
    <d v="2022-03-23T00:00:00"/>
    <s v="POR CONFIRMAR PRECIO"/>
    <m/>
    <m/>
    <m/>
  </r>
  <r>
    <s v="MF-290/21"/>
    <s v="YARALIVA NITRABOR A GRANEL"/>
    <s v="YARA PERÚ SRL"/>
    <m/>
    <s v="CAD"/>
    <m/>
    <x v="1"/>
    <x v="1"/>
    <n v="3"/>
    <x v="1"/>
    <d v="2022-03-30T00:00:00"/>
    <n v="108"/>
    <n v="366.37"/>
    <n v="39567.96"/>
    <d v="2022-03-23T00:00:00"/>
    <s v="POR CONFIRMAR PRECIO"/>
    <m/>
    <m/>
    <m/>
  </r>
  <r>
    <s v="MF-291/21"/>
    <s v="YARALIVA NITRABOR A GRANEL"/>
    <s v="YARA PERÚ SRL"/>
    <m/>
    <s v="CAD"/>
    <m/>
    <x v="1"/>
    <x v="1"/>
    <n v="3"/>
    <x v="3"/>
    <d v="2022-03-08T00:00:00"/>
    <n v="378"/>
    <n v="366.37"/>
    <n v="138487.86000000002"/>
    <d v="2022-03-01T00:00:00"/>
    <s v="POR CONFIRMAR PRECIO"/>
    <m/>
    <m/>
    <m/>
  </r>
  <r>
    <s v="MF-292/21"/>
    <s v="YARALIVA NITRABOR A GRANEL"/>
    <s v="YARA PERÚ SRL"/>
    <m/>
    <s v="CAD"/>
    <m/>
    <x v="1"/>
    <x v="1"/>
    <n v="3"/>
    <x v="3"/>
    <d v="2022-03-08T00:00:00"/>
    <n v="108"/>
    <n v="366.37"/>
    <n v="39567.96"/>
    <d v="2022-03-01T00:00:00"/>
    <s v="POR CONFIRMAR PRECIO"/>
    <m/>
    <m/>
    <m/>
  </r>
  <r>
    <s v="MF-293A/21"/>
    <s v="YARATERA CALCINIT X 25KG"/>
    <s v="YARA PERÚ SRL"/>
    <s v="F200-43259"/>
    <n v="30"/>
    <s v="días FACT."/>
    <x v="1"/>
    <x v="1"/>
    <n v="3"/>
    <x v="1"/>
    <d v="2022-03-29T00:00:00"/>
    <n v="297"/>
    <n v="372.44"/>
    <n v="110614.68"/>
    <d v="2022-01-28T00:00:00"/>
    <m/>
    <m/>
    <m/>
    <m/>
  </r>
  <r>
    <s v="MF-293B/21"/>
    <s v="YARATERA CALCINIT X 25KG"/>
    <s v="YARA PERÚ SRL"/>
    <s v="F200-43257"/>
    <n v="30"/>
    <s v="días FACT."/>
    <x v="1"/>
    <x v="1"/>
    <n v="3"/>
    <x v="1"/>
    <d v="2022-03-28T00:00:00"/>
    <n v="297"/>
    <n v="372.44"/>
    <n v="110614.68"/>
    <d v="2022-01-27T00:00:00"/>
    <m/>
    <m/>
    <m/>
    <m/>
  </r>
  <r>
    <s v="MF-294A/21"/>
    <s v="YARATERA CALCINIT X 25KG"/>
    <s v="YARA PERÚ SRL"/>
    <s v="F200-43256"/>
    <n v="30"/>
    <s v="días FACT."/>
    <x v="1"/>
    <x v="1"/>
    <n v="3"/>
    <x v="4"/>
    <d v="2022-03-13T00:00:00"/>
    <n v="216"/>
    <n v="372.44"/>
    <n v="80447.039999999994"/>
    <d v="2022-01-12T00:00:00"/>
    <m/>
    <m/>
    <m/>
    <m/>
  </r>
  <r>
    <s v="MF-294B/21"/>
    <s v="YARATERA CALCINIT X 25KG"/>
    <s v="YARA PERÚ SRL"/>
    <s v="F200-43253"/>
    <n v="30"/>
    <s v="días FACT."/>
    <x v="1"/>
    <x v="1"/>
    <n v="3"/>
    <x v="5"/>
    <d v="2022-03-21T00:00:00"/>
    <n v="108"/>
    <n v="372.44"/>
    <n v="40223.519999999997"/>
    <d v="2022-01-20T00:00:00"/>
    <m/>
    <m/>
    <m/>
    <m/>
  </r>
  <r>
    <s v="MF-295/21"/>
    <s v="YARATERA CALCINIT X 25KG"/>
    <s v="YARA PERÚ SRL"/>
    <s v="F200-43260"/>
    <n v="30"/>
    <s v="días FACT."/>
    <x v="1"/>
    <x v="1"/>
    <n v="3"/>
    <x v="1"/>
    <d v="2022-03-29T00:00:00"/>
    <n v="81"/>
    <n v="372.44"/>
    <n v="30167.64"/>
    <d v="2022-01-28T00:00:00"/>
    <m/>
    <m/>
    <m/>
    <m/>
  </r>
  <r>
    <s v="MF-296/21"/>
    <s v="YARATERA CALCINIT X 25KG"/>
    <s v="YARA PERÚ SRL"/>
    <m/>
    <n v="30"/>
    <s v="días FACT."/>
    <x v="1"/>
    <x v="4"/>
    <n v="4"/>
    <x v="8"/>
    <d v="2022-04-18T00:00:00"/>
    <n v="486"/>
    <n v="233.09"/>
    <n v="113281.74"/>
    <d v="2022-02-17T00:00:00"/>
    <s v="POR CONFIRMAR PRECIO"/>
    <m/>
    <m/>
    <m/>
  </r>
  <r>
    <s v="MF-297A/21"/>
    <s v="YARATERA CALCINIT X 25KG"/>
    <s v="YARA PERÚ SRL"/>
    <m/>
    <n v="30"/>
    <s v="días FACT."/>
    <x v="1"/>
    <x v="2"/>
    <n v="5"/>
    <x v="9"/>
    <d v="2022-05-08T00:00:00"/>
    <n v="216"/>
    <n v="233.09"/>
    <n v="50347.44"/>
    <d v="2022-03-09T00:00:00"/>
    <s v="POR CONFIRMAR PRECIO"/>
    <m/>
    <m/>
    <m/>
  </r>
  <r>
    <s v="MF-297B/21"/>
    <s v="YARATERA CALCINIT X 25KG"/>
    <s v="YARA PERÚ SRL"/>
    <m/>
    <n v="30"/>
    <s v="días FACT."/>
    <x v="1"/>
    <x v="4"/>
    <n v="4"/>
    <x v="8"/>
    <d v="2022-04-17T00:00:00"/>
    <n v="216"/>
    <n v="233.09"/>
    <n v="50347.44"/>
    <d v="2022-02-16T00:00:00"/>
    <s v="POR CONFIRMAR PRECIO"/>
    <m/>
    <m/>
    <m/>
  </r>
  <r>
    <s v="MF-298/21"/>
    <s v="YARATERA CALCINIT X 25KG"/>
    <s v="YARA PERÚ SRL"/>
    <m/>
    <n v="30"/>
    <s v="días FACT."/>
    <x v="1"/>
    <x v="4"/>
    <n v="4"/>
    <x v="13"/>
    <d v="2022-04-29T00:00:00"/>
    <n v="81"/>
    <n v="233.09"/>
    <n v="18880.29"/>
    <d v="2022-02-28T00:00:00"/>
    <s v="POR CONFIRMAR PRECIO"/>
    <m/>
    <m/>
    <m/>
  </r>
  <r>
    <s v="MF-299A/21"/>
    <s v="YARATERA CALCINIT X 25KG"/>
    <s v="YARA PERÚ SRL"/>
    <m/>
    <n v="30"/>
    <s v="días FACT."/>
    <x v="1"/>
    <x v="4"/>
    <n v="4"/>
    <x v="13"/>
    <d v="2022-04-26T00:00:00"/>
    <n v="324"/>
    <n v="233.09"/>
    <n v="75521.16"/>
    <d v="2022-02-25T00:00:00"/>
    <s v="POR CONFIRMAR PRECIO"/>
    <m/>
    <m/>
    <m/>
  </r>
  <r>
    <s v="MF-299B/21"/>
    <s v="YARATERA CALCINIT X 25KG"/>
    <s v="YARA PERÚ SRL"/>
    <m/>
    <n v="30"/>
    <s v="días FACT."/>
    <x v="1"/>
    <x v="4"/>
    <n v="4"/>
    <x v="13"/>
    <d v="2022-04-26T00:00:00"/>
    <n v="324"/>
    <n v="233.09"/>
    <n v="75521.16"/>
    <d v="2022-02-25T00:00:00"/>
    <s v="POR CONFIRMAR PRECIO"/>
    <m/>
    <m/>
    <m/>
  </r>
  <r>
    <s v="MF-299C/21"/>
    <s v="YARATERA CALCINIT X 25KG"/>
    <s v="YARA PERÚ SRL"/>
    <m/>
    <n v="30"/>
    <s v="días FACT."/>
    <x v="1"/>
    <x v="4"/>
    <n v="4"/>
    <x v="13"/>
    <d v="2022-04-26T00:00:00"/>
    <n v="324"/>
    <n v="233.09"/>
    <n v="75521.16"/>
    <d v="2022-02-25T00:00:00"/>
    <s v="POR CONFIRMAR PRECIO"/>
    <m/>
    <m/>
    <m/>
  </r>
  <r>
    <s v="MF-300A/21"/>
    <s v="YARATERA CALCINIT X 25KG"/>
    <s v="YARA PERÚ SRL"/>
    <m/>
    <n v="30"/>
    <s v="días FACT."/>
    <x v="1"/>
    <x v="2"/>
    <n v="5"/>
    <x v="19"/>
    <d v="2022-05-01T00:00:00"/>
    <n v="216"/>
    <n v="233.09"/>
    <n v="50347.44"/>
    <d v="2022-03-02T00:00:00"/>
    <s v="POR CONFIRMAR PRECIO"/>
    <m/>
    <m/>
    <m/>
  </r>
  <r>
    <s v="MF-300B/21"/>
    <s v="YARATERA CALCINIT X 25KG"/>
    <s v="YARA PERÚ SRL"/>
    <m/>
    <n v="30"/>
    <s v="días FACT."/>
    <x v="1"/>
    <x v="4"/>
    <n v="4"/>
    <x v="13"/>
    <d v="2022-04-24T00:00:00"/>
    <n v="108"/>
    <n v="233.09"/>
    <n v="25173.72"/>
    <d v="2022-02-23T00:00:00"/>
    <s v="POR CONFIRMAR PRECIO"/>
    <m/>
    <m/>
    <m/>
  </r>
  <r>
    <s v="MF-301/21"/>
    <s v="YARATERA CALCINIT X 25KG"/>
    <s v="YARA PERÚ SRL"/>
    <m/>
    <n v="30"/>
    <s v="días FACT."/>
    <x v="1"/>
    <x v="2"/>
    <n v="5"/>
    <x v="19"/>
    <d v="2022-05-06T00:00:00"/>
    <n v="27"/>
    <n v="233.09"/>
    <n v="6293.43"/>
    <d v="2022-03-07T00:00:00"/>
    <s v="POR CONFIRMAR PRECIO"/>
    <m/>
    <m/>
    <m/>
  </r>
  <r>
    <s v="MF-302/21"/>
    <s v="CLORURO DE CALCIO"/>
    <s v="WEGROW AG"/>
    <m/>
    <s v="CAD"/>
    <m/>
    <x v="1"/>
    <x v="3"/>
    <n v="2"/>
    <x v="7"/>
    <d v="2022-02-24T00:00:00"/>
    <n v="100"/>
    <n v="519"/>
    <n v="51900"/>
    <d v="2022-02-17T00:00:00"/>
    <m/>
    <m/>
    <m/>
    <m/>
  </r>
  <r>
    <s v="MF-001/22"/>
    <s v="NITRATO DE POTASIO CRISTALIZADO"/>
    <s v="WEGROW AG"/>
    <m/>
    <n v="90"/>
    <s v="días BL"/>
    <x v="1"/>
    <x v="5"/>
    <n v="6"/>
    <x v="20"/>
    <d v="2022-06-28T00:00:00"/>
    <n v="1500"/>
    <n v="1531"/>
    <n v="2296500"/>
    <d v="2022-02-28T00:00:00"/>
    <m/>
    <m/>
    <m/>
    <m/>
  </r>
  <r>
    <s v="MF-002/22"/>
    <s v="UREA ADBLUE (BIG BAG)"/>
    <s v="PHOSAGRO "/>
    <m/>
    <s v="CAD"/>
    <m/>
    <x v="1"/>
    <x v="1"/>
    <n v="3"/>
    <x v="6"/>
    <d v="2022-03-02T00:00:00"/>
    <n v="500"/>
    <n v="900"/>
    <n v="450000"/>
    <d v="2022-02-23T00:00:00"/>
    <m/>
    <m/>
    <m/>
    <m/>
  </r>
  <r>
    <s v="MF-003/22"/>
    <s v="CLORURO DE POTASIO BLANCO ESTANDAR"/>
    <s v="URALKALI"/>
    <s v="PROFORMA"/>
    <s v="PREPAGO"/>
    <m/>
    <x v="1"/>
    <x v="3"/>
    <n v="2"/>
    <x v="12"/>
    <d v="2022-02-18T00:00:00"/>
    <n v="1800"/>
    <n v="760"/>
    <n v="1368000"/>
    <d v="2022-02-25T00:00:00"/>
    <s v="CONFIRMAR PAGO"/>
    <d v="2022-02-16T00:00:00"/>
    <m/>
    <m/>
  </r>
  <r>
    <s v="MF-004/22"/>
    <s v="CLORURO DE POTASIO ROJO GRANULAR"/>
    <s v="URALKALI"/>
    <m/>
    <n v="20"/>
    <s v="días BL"/>
    <x v="1"/>
    <x v="1"/>
    <n v="3"/>
    <x v="4"/>
    <d v="2022-03-17T00:00:00"/>
    <n v="4040"/>
    <n v="775"/>
    <n v="3131000"/>
    <d v="2022-02-25T00:00:00"/>
    <m/>
    <m/>
    <m/>
    <m/>
  </r>
  <r>
    <s v="MF-005/22"/>
    <s v="YARALIVA NITRABOR A GRANEL"/>
    <s v="YARA PERÚ SRL"/>
    <m/>
    <s v="CAD"/>
    <m/>
    <x v="1"/>
    <x v="1"/>
    <n v="3"/>
    <x v="3"/>
    <d v="2022-03-07T00:00:00"/>
    <n v="27"/>
    <n v="334.22"/>
    <n v="9023.94"/>
    <d v="2022-02-28T00:00:00"/>
    <s v="POR CONFIRMAR PRECIO"/>
    <m/>
    <m/>
    <m/>
  </r>
  <r>
    <s v="MF-006/22"/>
    <s v="UREA ADBLUE (BIG BAG)"/>
    <s v="PHOSAGRO "/>
    <m/>
    <s v="CAD"/>
    <m/>
    <x v="1"/>
    <x v="1"/>
    <n v="3"/>
    <x v="1"/>
    <d v="2022-03-29T00:00:00"/>
    <n v="748.8"/>
    <n v="740"/>
    <n v="554112"/>
    <d v="2022-03-22T00:00:00"/>
    <m/>
    <m/>
    <m/>
    <m/>
  </r>
  <r>
    <s v="MF-007/22"/>
    <s v="NITRATO DE POTASIO CRISTALIZADO"/>
    <s v="ACF BAQUEDANO S.A"/>
    <m/>
    <n v="30"/>
    <s v="días BL"/>
    <x v="1"/>
    <x v="4"/>
    <n v="4"/>
    <x v="16"/>
    <d v="2022-04-14T00:00:00"/>
    <n v="300"/>
    <n v="1340"/>
    <n v="402000"/>
    <d v="2022-03-15T00:00:00"/>
    <m/>
    <m/>
    <m/>
    <m/>
  </r>
  <r>
    <s v="MF-008/22"/>
    <s v="NITRATO DE MAGNESIO HEXAHIDRATADO"/>
    <s v="DREYMOOR"/>
    <m/>
    <s v="CAD"/>
    <m/>
    <x v="1"/>
    <x v="4"/>
    <n v="4"/>
    <x v="15"/>
    <d v="2022-04-04T00:00:00"/>
    <n v="500"/>
    <n v="430.5"/>
    <n v="215250"/>
    <d v="2022-03-25T00:00:00"/>
    <m/>
    <m/>
    <m/>
    <m/>
  </r>
  <r>
    <s v="MF-009/22"/>
    <s v="NITRATO DE MAGNESIO HEXAHIDRATADO"/>
    <s v="STAR GRACE MINING CO.,LTD"/>
    <s v="SG-MNL-12329-45"/>
    <n v="90"/>
    <s v="días BL"/>
    <x v="1"/>
    <x v="6"/>
    <n v="7"/>
    <x v="21"/>
    <d v="2022-07-24T00:00:00"/>
    <n v="400"/>
    <n v="420"/>
    <n v="168000"/>
    <d v="2022-04-25T00:00:00"/>
    <m/>
    <m/>
    <m/>
    <m/>
  </r>
  <r>
    <s v="MF-010/22"/>
    <s v="SULFATO DE POTASIO SOLUBLE"/>
    <s v="WEGROW AG"/>
    <m/>
    <n v="150"/>
    <s v="días BL"/>
    <x v="1"/>
    <x v="6"/>
    <n v="7"/>
    <x v="21"/>
    <d v="2022-07-28T00:00:00"/>
    <n v="1500"/>
    <n v="1028.5"/>
    <n v="1542750"/>
    <d v="2022-02-28T00:00:00"/>
    <m/>
    <m/>
    <m/>
    <m/>
  </r>
  <r>
    <m/>
    <m/>
    <m/>
    <m/>
    <m/>
    <m/>
    <x v="2"/>
    <x v="7"/>
    <m/>
    <x v="22"/>
    <m/>
    <m/>
    <m/>
    <m/>
    <m/>
    <m/>
    <m/>
    <m/>
    <m/>
  </r>
  <r>
    <m/>
    <m/>
    <m/>
    <m/>
    <m/>
    <m/>
    <x v="2"/>
    <x v="7"/>
    <m/>
    <x v="22"/>
    <m/>
    <m/>
    <m/>
    <m/>
    <m/>
    <m/>
    <m/>
    <m/>
    <m/>
  </r>
  <r>
    <m/>
    <m/>
    <m/>
    <m/>
    <m/>
    <m/>
    <x v="2"/>
    <x v="7"/>
    <m/>
    <x v="22"/>
    <m/>
    <m/>
    <m/>
    <m/>
    <m/>
    <m/>
    <m/>
    <m/>
    <m/>
  </r>
  <r>
    <m/>
    <m/>
    <m/>
    <m/>
    <m/>
    <m/>
    <x v="2"/>
    <x v="7"/>
    <m/>
    <x v="22"/>
    <m/>
    <m/>
    <m/>
    <m/>
    <m/>
    <m/>
    <m/>
    <m/>
    <m/>
  </r>
  <r>
    <m/>
    <m/>
    <m/>
    <m/>
    <m/>
    <m/>
    <x v="2"/>
    <x v="7"/>
    <m/>
    <x v="22"/>
    <m/>
    <m/>
    <m/>
    <m/>
    <m/>
    <m/>
    <m/>
    <m/>
    <m/>
  </r>
  <r>
    <m/>
    <m/>
    <m/>
    <m/>
    <m/>
    <m/>
    <x v="2"/>
    <x v="7"/>
    <m/>
    <x v="22"/>
    <m/>
    <m/>
    <m/>
    <m/>
    <m/>
    <m/>
    <m/>
    <m/>
    <m/>
  </r>
  <r>
    <m/>
    <m/>
    <m/>
    <m/>
    <m/>
    <m/>
    <x v="2"/>
    <x v="7"/>
    <m/>
    <x v="2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H27" firstHeaderRow="1" firstDataRow="2" firstDataCol="1"/>
  <pivotFields count="19">
    <pivotField showAll="0"/>
    <pivotField showAll="0" defaultSubtotal="0"/>
    <pivotField showAll="0"/>
    <pivotField showAll="0"/>
    <pivotField showAll="0"/>
    <pivotField showAll="0"/>
    <pivotField axis="axisRow" numFmtId="49" multipleItemSelectionAllowed="1" showAll="0">
      <items count="4">
        <item h="1" x="0"/>
        <item x="1"/>
        <item h="1" x="2"/>
        <item t="default"/>
      </items>
    </pivotField>
    <pivotField axis="axisCol" showAll="0" defaultSubtotal="0">
      <items count="8">
        <item x="0"/>
        <item x="7"/>
        <item x="3"/>
        <item x="1"/>
        <item x="4"/>
        <item x="2"/>
        <item x="5"/>
        <item x="6"/>
      </items>
    </pivotField>
    <pivotField showAll="0" defaultSubtotal="0"/>
    <pivotField axis="axisRow" showAll="0" sortType="ascending">
      <items count="24">
        <item x="12"/>
        <item x="7"/>
        <item x="6"/>
        <item x="3"/>
        <item x="4"/>
        <item x="5"/>
        <item x="1"/>
        <item x="15"/>
        <item x="16"/>
        <item x="8"/>
        <item x="13"/>
        <item x="19"/>
        <item x="9"/>
        <item x="2"/>
        <item x="10"/>
        <item x="11"/>
        <item x="14"/>
        <item x="18"/>
        <item x="20"/>
        <item x="17"/>
        <item x="21"/>
        <item x="0"/>
        <item x="2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6"/>
    <field x="9"/>
  </rowFields>
  <rowItems count="2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7"/>
  </colFields>
  <colItems count="7"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 TOTAL USD" fld="13" baseField="7" baseItem="3" numFmtId="167"/>
  </dataFields>
  <formats count="3">
    <format dxfId="1889">
      <pivotArea collapsedLevelsAreSubtotals="1" fieldPosition="0">
        <references count="2">
          <reference field="4294967294" count="1" selected="0">
            <x v="0"/>
          </reference>
          <reference field="9" count="1">
            <x v="21"/>
          </reference>
        </references>
      </pivotArea>
    </format>
    <format dxfId="1888">
      <pivotArea field="8" grandRow="1" outline="0" collapsedLevelsAreSubtotals="1">
        <references count="1">
          <reference field="4294967294" count="1" selected="0">
            <x v="0"/>
          </reference>
        </references>
      </pivotArea>
    </format>
    <format dxfId="188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showGridLines="0" topLeftCell="A13" workbookViewId="0">
      <selection activeCell="G22" sqref="G22"/>
    </sheetView>
  </sheetViews>
  <sheetFormatPr baseColWidth="10" defaultRowHeight="14.4" x14ac:dyDescent="0.3"/>
  <cols>
    <col min="1" max="1" width="12.5546875" bestFit="1" customWidth="1"/>
    <col min="2" max="2" width="29.44140625" bestFit="1" customWidth="1"/>
    <col min="3" max="3" width="11.5546875" bestFit="1" customWidth="1"/>
    <col min="4" max="4" width="4.44140625" bestFit="1" customWidth="1"/>
    <col min="5" max="5" width="6.5546875" customWidth="1"/>
    <col min="6" max="6" width="9.5546875" customWidth="1"/>
    <col min="7" max="7" width="10.44140625" customWidth="1"/>
    <col min="8" max="8" width="8.44140625" bestFit="1" customWidth="1"/>
    <col min="9" max="9" width="8.5546875" bestFit="1" customWidth="1"/>
    <col min="10" max="10" width="13.5546875" bestFit="1" customWidth="1"/>
    <col min="12" max="12" width="17.44140625" customWidth="1"/>
  </cols>
  <sheetData>
    <row r="1" spans="1:11" ht="25.5" customHeight="1" x14ac:dyDescent="0.25">
      <c r="A1" s="36" t="s">
        <v>0</v>
      </c>
      <c r="B1" s="36" t="s">
        <v>1</v>
      </c>
      <c r="C1" s="36" t="s">
        <v>2</v>
      </c>
      <c r="D1" s="36" t="s">
        <v>21</v>
      </c>
      <c r="E1" s="36" t="s">
        <v>22</v>
      </c>
      <c r="F1" s="36" t="s">
        <v>3</v>
      </c>
      <c r="G1" s="36" t="s">
        <v>19</v>
      </c>
      <c r="H1" s="36" t="s">
        <v>23</v>
      </c>
      <c r="I1" s="36" t="s">
        <v>75</v>
      </c>
      <c r="J1" s="36" t="s">
        <v>29</v>
      </c>
    </row>
    <row r="2" spans="1:11" s="10" customFormat="1" ht="7.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1" x14ac:dyDescent="0.3">
      <c r="A3" s="25" t="s">
        <v>71</v>
      </c>
      <c r="B3" s="1" t="s">
        <v>4</v>
      </c>
      <c r="C3" s="3" t="s">
        <v>18</v>
      </c>
      <c r="D3" s="5" t="s">
        <v>5</v>
      </c>
      <c r="E3" s="6"/>
      <c r="F3" s="7">
        <v>42895</v>
      </c>
      <c r="G3" s="9">
        <v>300</v>
      </c>
      <c r="H3" s="8">
        <v>489</v>
      </c>
      <c r="I3" s="8">
        <v>146700</v>
      </c>
      <c r="J3" s="2" t="s">
        <v>34</v>
      </c>
      <c r="K3" t="s">
        <v>110</v>
      </c>
    </row>
    <row r="4" spans="1:11" ht="18.75" x14ac:dyDescent="0.3">
      <c r="A4" s="531" t="s">
        <v>91</v>
      </c>
      <c r="B4" s="532"/>
      <c r="C4" s="13"/>
      <c r="D4" s="13"/>
      <c r="E4" s="13"/>
      <c r="F4" s="13"/>
      <c r="G4" s="13"/>
      <c r="H4" s="13"/>
      <c r="I4" s="13"/>
      <c r="J4" s="14"/>
    </row>
    <row r="5" spans="1:11" ht="13.35" customHeight="1" x14ac:dyDescent="0.3">
      <c r="A5" s="15"/>
      <c r="B5" s="16" t="s">
        <v>76</v>
      </c>
      <c r="C5" s="37" t="s">
        <v>77</v>
      </c>
      <c r="D5" s="37"/>
      <c r="E5" s="37"/>
      <c r="F5" s="37"/>
      <c r="G5" s="18"/>
      <c r="H5" s="18"/>
      <c r="I5" s="18"/>
      <c r="J5" s="19"/>
    </row>
    <row r="6" spans="1:11" ht="13.35" customHeight="1" x14ac:dyDescent="0.3">
      <c r="A6" s="15"/>
      <c r="B6" s="16" t="s">
        <v>78</v>
      </c>
      <c r="C6" s="37" t="s">
        <v>87</v>
      </c>
      <c r="D6" s="37"/>
      <c r="E6" s="37"/>
      <c r="F6" s="37"/>
      <c r="G6" s="18"/>
      <c r="H6" s="18"/>
      <c r="I6" s="18"/>
      <c r="J6" s="19"/>
    </row>
    <row r="7" spans="1:11" ht="13.35" customHeight="1" x14ac:dyDescent="0.3">
      <c r="A7" s="15"/>
      <c r="B7" s="16" t="s">
        <v>79</v>
      </c>
      <c r="C7" s="37" t="s">
        <v>80</v>
      </c>
      <c r="D7" s="37"/>
      <c r="E7" s="37"/>
      <c r="F7" s="37"/>
      <c r="G7" s="18"/>
      <c r="H7" s="18"/>
      <c r="I7" s="18"/>
      <c r="J7" s="19"/>
    </row>
    <row r="8" spans="1:11" ht="13.35" customHeight="1" x14ac:dyDescent="0.3">
      <c r="A8" s="15"/>
      <c r="B8" s="16" t="s">
        <v>81</v>
      </c>
      <c r="C8" s="37">
        <v>1620132835</v>
      </c>
      <c r="D8" s="37"/>
      <c r="E8" s="37"/>
      <c r="F8" s="37"/>
      <c r="G8" s="18"/>
      <c r="H8" s="18"/>
      <c r="I8" s="18"/>
      <c r="J8" s="19"/>
    </row>
    <row r="9" spans="1:11" ht="13.35" customHeight="1" x14ac:dyDescent="0.3">
      <c r="A9" s="15"/>
      <c r="B9" s="16" t="s">
        <v>82</v>
      </c>
      <c r="C9" s="37" t="s">
        <v>88</v>
      </c>
      <c r="D9" s="37"/>
      <c r="E9" s="37"/>
      <c r="F9" s="37"/>
      <c r="G9" s="18"/>
      <c r="H9" s="18"/>
      <c r="I9" s="18"/>
      <c r="J9" s="19"/>
    </row>
    <row r="10" spans="1:11" ht="13.35" customHeight="1" x14ac:dyDescent="0.3">
      <c r="A10" s="15"/>
      <c r="B10" s="16" t="s">
        <v>83</v>
      </c>
      <c r="C10" s="37" t="s">
        <v>90</v>
      </c>
      <c r="D10" s="37"/>
      <c r="E10" s="37"/>
      <c r="F10" s="37"/>
      <c r="G10" s="18"/>
      <c r="H10" s="18"/>
      <c r="I10" s="18"/>
      <c r="J10" s="19"/>
    </row>
    <row r="11" spans="1:11" ht="13.35" customHeight="1" x14ac:dyDescent="0.3">
      <c r="A11" s="15"/>
      <c r="B11" s="16" t="s">
        <v>84</v>
      </c>
      <c r="C11" s="37" t="s">
        <v>89</v>
      </c>
      <c r="D11" s="37"/>
      <c r="E11" s="37"/>
      <c r="F11" s="37"/>
      <c r="G11" s="18"/>
      <c r="H11" s="18"/>
      <c r="I11" s="18"/>
      <c r="J11" s="19"/>
    </row>
    <row r="12" spans="1:11" ht="13.35" customHeight="1" x14ac:dyDescent="0.3">
      <c r="A12" s="20"/>
      <c r="B12" s="21" t="s">
        <v>85</v>
      </c>
      <c r="C12" s="38" t="s">
        <v>86</v>
      </c>
      <c r="D12" s="38"/>
      <c r="E12" s="38"/>
      <c r="F12" s="38"/>
      <c r="G12" s="22"/>
      <c r="H12" s="22"/>
      <c r="I12" s="22"/>
      <c r="J12" s="23"/>
    </row>
    <row r="13" spans="1:11" s="10" customFormat="1" ht="7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</row>
    <row r="14" spans="1:11" ht="15" x14ac:dyDescent="0.25">
      <c r="A14" s="25" t="s">
        <v>51</v>
      </c>
      <c r="B14" s="1" t="s">
        <v>6</v>
      </c>
      <c r="C14" s="3" t="s">
        <v>7</v>
      </c>
      <c r="D14" s="5" t="s">
        <v>5</v>
      </c>
      <c r="E14" s="6"/>
      <c r="F14" s="7">
        <v>42898</v>
      </c>
      <c r="G14" s="9">
        <v>375</v>
      </c>
      <c r="H14" s="8">
        <v>505</v>
      </c>
      <c r="I14" s="8">
        <v>189375</v>
      </c>
      <c r="J14" s="2" t="s">
        <v>54</v>
      </c>
      <c r="K14" t="s">
        <v>110</v>
      </c>
    </row>
    <row r="15" spans="1:11" x14ac:dyDescent="0.3">
      <c r="A15" s="25" t="s">
        <v>65</v>
      </c>
      <c r="B15" s="1" t="s">
        <v>14</v>
      </c>
      <c r="C15" s="3" t="s">
        <v>7</v>
      </c>
      <c r="D15" s="5" t="s">
        <v>5</v>
      </c>
      <c r="E15" s="6"/>
      <c r="F15" s="7">
        <v>42898</v>
      </c>
      <c r="G15" s="9">
        <v>153.9</v>
      </c>
      <c r="H15" s="8">
        <v>909</v>
      </c>
      <c r="I15" s="8">
        <f>+G15*H15</f>
        <v>139895.1</v>
      </c>
      <c r="J15" s="2" t="s">
        <v>34</v>
      </c>
      <c r="K15" t="s">
        <v>110</v>
      </c>
    </row>
    <row r="16" spans="1:11" x14ac:dyDescent="0.3">
      <c r="A16" s="26" t="s">
        <v>66</v>
      </c>
      <c r="B16" s="27" t="s">
        <v>14</v>
      </c>
      <c r="C16" s="28" t="s">
        <v>7</v>
      </c>
      <c r="D16" s="29" t="s">
        <v>5</v>
      </c>
      <c r="E16" s="30"/>
      <c r="F16" s="31">
        <v>42898</v>
      </c>
      <c r="G16" s="32">
        <v>153.9</v>
      </c>
      <c r="H16" s="33">
        <v>914</v>
      </c>
      <c r="I16" s="33">
        <f>+H16*G16</f>
        <v>140664.6</v>
      </c>
      <c r="J16" s="34" t="s">
        <v>34</v>
      </c>
    </row>
    <row r="17" spans="1:11" s="10" customFormat="1" ht="18.75" x14ac:dyDescent="0.3">
      <c r="A17" s="531" t="s">
        <v>91</v>
      </c>
      <c r="B17" s="532"/>
      <c r="C17" s="13"/>
      <c r="D17" s="13"/>
      <c r="E17" s="13"/>
      <c r="F17" s="13"/>
      <c r="G17" s="13"/>
      <c r="H17" s="13"/>
      <c r="I17" s="13"/>
      <c r="J17" s="14"/>
    </row>
    <row r="18" spans="1:11" s="10" customFormat="1" ht="13.35" customHeight="1" x14ac:dyDescent="0.3">
      <c r="A18" s="15"/>
      <c r="B18" s="16" t="s">
        <v>76</v>
      </c>
      <c r="C18" s="37" t="s">
        <v>92</v>
      </c>
      <c r="D18" s="37"/>
      <c r="E18" s="37"/>
      <c r="F18" s="37"/>
      <c r="G18" s="18"/>
      <c r="H18" s="18"/>
      <c r="I18" s="18"/>
      <c r="J18" s="19"/>
    </row>
    <row r="19" spans="1:11" s="10" customFormat="1" ht="13.35" customHeight="1" x14ac:dyDescent="0.3">
      <c r="A19" s="15"/>
      <c r="B19" s="16" t="s">
        <v>78</v>
      </c>
      <c r="C19" s="37" t="s">
        <v>94</v>
      </c>
      <c r="D19" s="37"/>
      <c r="E19" s="37"/>
      <c r="F19" s="37"/>
      <c r="G19" s="18"/>
      <c r="H19" s="18"/>
      <c r="I19" s="18"/>
      <c r="J19" s="19"/>
    </row>
    <row r="20" spans="1:11" s="10" customFormat="1" ht="13.35" customHeight="1" x14ac:dyDescent="0.3">
      <c r="A20" s="15"/>
      <c r="B20" s="16" t="s">
        <v>81</v>
      </c>
      <c r="C20" s="17">
        <v>1071321</v>
      </c>
      <c r="D20" s="37"/>
      <c r="E20" s="37"/>
      <c r="F20" s="37"/>
      <c r="G20" s="18"/>
      <c r="H20" s="18"/>
      <c r="I20" s="18"/>
      <c r="J20" s="19"/>
    </row>
    <row r="21" spans="1:11" s="10" customFormat="1" ht="13.35" customHeight="1" x14ac:dyDescent="0.3">
      <c r="A21" s="15"/>
      <c r="B21" s="16" t="s">
        <v>98</v>
      </c>
      <c r="C21" s="37" t="s">
        <v>97</v>
      </c>
      <c r="D21" s="37"/>
      <c r="E21" s="37"/>
      <c r="F21" s="37"/>
      <c r="G21" s="18"/>
      <c r="H21" s="18"/>
      <c r="I21" s="18"/>
      <c r="J21" s="19"/>
    </row>
    <row r="22" spans="1:11" s="10" customFormat="1" ht="13.35" customHeight="1" x14ac:dyDescent="0.3">
      <c r="A22" s="15"/>
      <c r="B22" s="16" t="s">
        <v>83</v>
      </c>
      <c r="C22" s="37" t="s">
        <v>109</v>
      </c>
      <c r="D22" s="37"/>
      <c r="E22" s="37"/>
      <c r="F22" s="37"/>
      <c r="G22" s="18"/>
      <c r="H22" s="18"/>
      <c r="I22" s="18"/>
      <c r="J22" s="19"/>
    </row>
    <row r="23" spans="1:11" s="10" customFormat="1" ht="13.35" customHeight="1" x14ac:dyDescent="0.3">
      <c r="A23" s="15"/>
      <c r="B23" s="16" t="s">
        <v>84</v>
      </c>
      <c r="C23" s="37" t="s">
        <v>96</v>
      </c>
      <c r="D23" s="37"/>
      <c r="E23" s="37"/>
      <c r="F23" s="37"/>
      <c r="G23" s="18"/>
      <c r="H23" s="18"/>
      <c r="I23" s="18"/>
      <c r="J23" s="19"/>
    </row>
    <row r="24" spans="1:11" s="10" customFormat="1" ht="13.35" customHeight="1" x14ac:dyDescent="0.3">
      <c r="A24" s="15"/>
      <c r="B24" s="16" t="s">
        <v>85</v>
      </c>
      <c r="C24" s="37" t="s">
        <v>95</v>
      </c>
      <c r="D24" s="37"/>
      <c r="E24" s="37"/>
      <c r="F24" s="37"/>
      <c r="G24" s="18"/>
      <c r="H24" s="18"/>
      <c r="I24" s="18"/>
      <c r="J24" s="19"/>
    </row>
    <row r="25" spans="1:11" s="10" customFormat="1" ht="13.35" customHeight="1" x14ac:dyDescent="0.25">
      <c r="A25" s="15"/>
      <c r="B25" s="35" t="s">
        <v>99</v>
      </c>
      <c r="C25" s="35" t="s">
        <v>100</v>
      </c>
      <c r="D25" s="17"/>
      <c r="E25" s="17"/>
      <c r="F25" s="17"/>
      <c r="G25" s="18"/>
      <c r="H25" s="18"/>
      <c r="I25" s="18"/>
      <c r="J25" s="19"/>
    </row>
    <row r="26" spans="1:11" s="10" customFormat="1" ht="13.35" customHeight="1" x14ac:dyDescent="0.25">
      <c r="A26" s="15"/>
      <c r="B26" s="35" t="s">
        <v>93</v>
      </c>
      <c r="C26" s="35" t="s">
        <v>101</v>
      </c>
      <c r="D26" s="17"/>
      <c r="E26" s="17"/>
      <c r="F26" s="17"/>
      <c r="G26" s="18"/>
      <c r="H26" s="18"/>
      <c r="I26" s="18"/>
      <c r="J26" s="19"/>
    </row>
    <row r="27" spans="1:11" s="10" customFormat="1" ht="13.35" customHeight="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9"/>
    </row>
    <row r="28" spans="1:11" s="10" customFormat="1" ht="7.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1" ht="15" customHeight="1" x14ac:dyDescent="0.3">
      <c r="A29" s="25" t="s">
        <v>48</v>
      </c>
      <c r="B29" s="1" t="s">
        <v>49</v>
      </c>
      <c r="C29" s="3" t="s">
        <v>7</v>
      </c>
      <c r="D29" s="5">
        <v>90</v>
      </c>
      <c r="E29" s="6" t="s">
        <v>20</v>
      </c>
      <c r="F29" s="7">
        <v>42899</v>
      </c>
      <c r="G29" s="11">
        <v>95.515000000000001</v>
      </c>
      <c r="H29" s="8">
        <v>255</v>
      </c>
      <c r="I29" s="8">
        <v>24356.325000000001</v>
      </c>
      <c r="J29" s="2" t="s">
        <v>30</v>
      </c>
      <c r="K29" t="s">
        <v>110</v>
      </c>
    </row>
    <row r="30" spans="1:11" s="10" customFormat="1" ht="18.75" x14ac:dyDescent="0.3">
      <c r="A30" s="531" t="s">
        <v>91</v>
      </c>
      <c r="B30" s="532"/>
      <c r="C30" s="13"/>
      <c r="D30" s="13"/>
      <c r="E30" s="13"/>
      <c r="F30" s="13"/>
      <c r="G30" s="13"/>
      <c r="H30" s="13"/>
      <c r="I30" s="13"/>
      <c r="J30" s="14"/>
    </row>
    <row r="31" spans="1:11" s="10" customFormat="1" ht="13.35" customHeight="1" x14ac:dyDescent="0.3">
      <c r="A31" s="15"/>
      <c r="B31" s="16" t="s">
        <v>76</v>
      </c>
      <c r="C31" s="37" t="s">
        <v>92</v>
      </c>
      <c r="D31" s="37"/>
      <c r="E31" s="37"/>
      <c r="F31" s="37"/>
      <c r="G31" s="18"/>
      <c r="H31" s="18"/>
      <c r="I31" s="18"/>
      <c r="J31" s="19"/>
    </row>
    <row r="32" spans="1:11" s="10" customFormat="1" ht="13.35" customHeight="1" x14ac:dyDescent="0.3">
      <c r="A32" s="15"/>
      <c r="B32" s="16" t="s">
        <v>78</v>
      </c>
      <c r="C32" s="37" t="s">
        <v>94</v>
      </c>
      <c r="D32" s="37"/>
      <c r="E32" s="37"/>
      <c r="F32" s="37"/>
      <c r="G32" s="18"/>
      <c r="H32" s="18"/>
      <c r="I32" s="18"/>
      <c r="J32" s="19"/>
    </row>
    <row r="33" spans="1:10" s="10" customFormat="1" ht="13.35" customHeight="1" x14ac:dyDescent="0.3">
      <c r="A33" s="15"/>
      <c r="B33" s="16" t="s">
        <v>81</v>
      </c>
      <c r="C33" s="37" t="s">
        <v>105</v>
      </c>
      <c r="D33" s="37"/>
      <c r="E33" s="37"/>
      <c r="F33" s="37"/>
      <c r="G33" s="18"/>
      <c r="H33" s="18"/>
      <c r="I33" s="18"/>
      <c r="J33" s="19"/>
    </row>
    <row r="34" spans="1:10" s="10" customFormat="1" ht="13.35" customHeight="1" x14ac:dyDescent="0.3">
      <c r="A34" s="15"/>
      <c r="B34" s="16" t="s">
        <v>98</v>
      </c>
      <c r="C34" s="37" t="s">
        <v>102</v>
      </c>
      <c r="D34" s="37"/>
      <c r="E34" s="37"/>
      <c r="F34" s="37"/>
      <c r="G34" s="18"/>
      <c r="H34" s="18"/>
      <c r="I34" s="18"/>
      <c r="J34" s="19"/>
    </row>
    <row r="35" spans="1:10" s="10" customFormat="1" ht="13.35" customHeight="1" x14ac:dyDescent="0.3">
      <c r="A35" s="15"/>
      <c r="B35" s="16" t="s">
        <v>83</v>
      </c>
      <c r="C35" s="37" t="s">
        <v>103</v>
      </c>
      <c r="D35" s="37"/>
      <c r="E35" s="37"/>
      <c r="F35" s="37"/>
      <c r="G35" s="18"/>
      <c r="H35" s="18"/>
      <c r="I35" s="18"/>
      <c r="J35" s="19"/>
    </row>
    <row r="36" spans="1:10" s="10" customFormat="1" ht="13.35" customHeight="1" x14ac:dyDescent="0.3">
      <c r="A36" s="15"/>
      <c r="B36" s="16" t="s">
        <v>84</v>
      </c>
      <c r="C36" s="37" t="s">
        <v>106</v>
      </c>
      <c r="D36" s="37"/>
      <c r="E36" s="37"/>
      <c r="F36" s="37"/>
      <c r="G36" s="18"/>
      <c r="H36" s="18"/>
      <c r="I36" s="18"/>
      <c r="J36" s="19"/>
    </row>
    <row r="37" spans="1:10" s="10" customFormat="1" ht="13.35" customHeight="1" x14ac:dyDescent="0.3">
      <c r="A37" s="15"/>
      <c r="B37" s="16" t="s">
        <v>85</v>
      </c>
      <c r="C37" s="37" t="s">
        <v>104</v>
      </c>
      <c r="D37" s="37"/>
      <c r="E37" s="37"/>
      <c r="F37" s="37"/>
      <c r="G37" s="18"/>
      <c r="H37" s="18"/>
      <c r="I37" s="18"/>
      <c r="J37" s="19"/>
    </row>
    <row r="38" spans="1:10" ht="13.35" customHeight="1" x14ac:dyDescent="0.25">
      <c r="A38" s="15"/>
      <c r="B38" s="35" t="s">
        <v>99</v>
      </c>
      <c r="C38" s="35" t="s">
        <v>107</v>
      </c>
      <c r="D38" s="17"/>
      <c r="E38" s="17"/>
      <c r="F38" s="17"/>
      <c r="G38" s="18"/>
      <c r="H38" s="18"/>
      <c r="I38" s="18"/>
      <c r="J38" s="19"/>
    </row>
    <row r="39" spans="1:10" ht="13.35" customHeight="1" x14ac:dyDescent="0.25">
      <c r="A39" s="15"/>
      <c r="B39" s="35" t="s">
        <v>93</v>
      </c>
      <c r="C39" s="35" t="s">
        <v>108</v>
      </c>
      <c r="D39" s="17"/>
      <c r="E39" s="17"/>
      <c r="F39" s="17"/>
      <c r="G39" s="18"/>
      <c r="H39" s="18"/>
      <c r="I39" s="18"/>
      <c r="J39" s="19"/>
    </row>
    <row r="40" spans="1:10" ht="13.35" customHeight="1" x14ac:dyDescent="0.25">
      <c r="A40" s="20"/>
      <c r="B40" s="21"/>
      <c r="C40" s="21"/>
      <c r="D40" s="21"/>
      <c r="E40" s="21"/>
      <c r="F40" s="21"/>
      <c r="G40" s="22"/>
      <c r="H40" s="22"/>
      <c r="I40" s="22"/>
      <c r="J40" s="23"/>
    </row>
  </sheetData>
  <mergeCells count="3">
    <mergeCell ref="A4:B4"/>
    <mergeCell ref="A17:B17"/>
    <mergeCell ref="A30:B30"/>
  </mergeCells>
  <conditionalFormatting sqref="F3 F14:F16 F29">
    <cfRule type="cellIs" dxfId="1886" priority="1" operator="between">
      <formula>TODAY()</formula>
      <formula>TODAY()+10</formula>
    </cfRule>
  </conditionalFormatting>
  <dataValidations count="4">
    <dataValidation type="list" allowBlank="1" showInputMessage="1" showErrorMessage="1" sqref="D3 D14:D16 D29">
      <formula1>PLAZOdePAGO</formula1>
    </dataValidation>
    <dataValidation type="list" allowBlank="1" showInputMessage="1" showErrorMessage="1" sqref="E3 E14:E16 E29">
      <formula1>PLAZOdePAGO2</formula1>
    </dataValidation>
    <dataValidation type="list" allowBlank="1" showInputMessage="1" showErrorMessage="1" sqref="C3 C14:C16 C29">
      <formula1>PROVEEDORES</formula1>
    </dataValidation>
    <dataValidation type="list" allowBlank="1" showInputMessage="1" showErrorMessage="1" sqref="B3 B14:B16 B29">
      <formula1>MATERIALES</formula1>
    </dataValidation>
  </dataValidations>
  <pageMargins left="0.25" right="0.25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GridLines="0" workbookViewId="0">
      <selection activeCell="A66" sqref="A66:XFD66"/>
    </sheetView>
  </sheetViews>
  <sheetFormatPr baseColWidth="10" defaultColWidth="11.44140625" defaultRowHeight="14.4" x14ac:dyDescent="0.3"/>
  <cols>
    <col min="1" max="1" width="12.5546875" style="10" bestFit="1" customWidth="1"/>
    <col min="2" max="2" width="23.44140625" style="10" customWidth="1"/>
    <col min="3" max="3" width="24" style="10" customWidth="1"/>
    <col min="4" max="4" width="11.5546875" style="76" bestFit="1" customWidth="1"/>
    <col min="5" max="5" width="4.44140625" style="10" bestFit="1" customWidth="1"/>
    <col min="6" max="6" width="6.44140625" style="10" bestFit="1" customWidth="1"/>
    <col min="7" max="10" width="11.44140625" style="10"/>
    <col min="11" max="11" width="11.44140625" style="10" customWidth="1"/>
    <col min="12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customHeight="1" x14ac:dyDescent="0.3">
      <c r="A3" s="66" t="s">
        <v>237</v>
      </c>
      <c r="B3" s="1" t="s">
        <v>243</v>
      </c>
      <c r="C3" s="3" t="s">
        <v>247</v>
      </c>
      <c r="D3" s="70" t="s">
        <v>290</v>
      </c>
      <c r="E3" s="54">
        <v>30</v>
      </c>
      <c r="F3" s="52" t="s">
        <v>45</v>
      </c>
      <c r="G3" s="7">
        <v>42993</v>
      </c>
      <c r="H3" s="9">
        <v>500</v>
      </c>
      <c r="I3" s="8">
        <v>231</v>
      </c>
      <c r="J3" s="8">
        <v>115500</v>
      </c>
      <c r="K3" s="53">
        <v>42964</v>
      </c>
    </row>
    <row r="4" spans="1:16" ht="15" customHeight="1" x14ac:dyDescent="0.3">
      <c r="A4" s="66" t="s">
        <v>238</v>
      </c>
      <c r="B4" s="1" t="s">
        <v>243</v>
      </c>
      <c r="C4" s="3" t="s">
        <v>247</v>
      </c>
      <c r="D4" s="70" t="s">
        <v>291</v>
      </c>
      <c r="E4" s="54">
        <v>30</v>
      </c>
      <c r="F4" s="52" t="s">
        <v>45</v>
      </c>
      <c r="G4" s="7">
        <v>42993</v>
      </c>
      <c r="H4" s="9">
        <v>1100</v>
      </c>
      <c r="I4" s="8">
        <v>231</v>
      </c>
      <c r="J4" s="8">
        <v>254100</v>
      </c>
      <c r="K4" s="53">
        <v>42964</v>
      </c>
    </row>
    <row r="5" spans="1:16" ht="15" customHeight="1" x14ac:dyDescent="0.3">
      <c r="A5" s="66" t="s">
        <v>287</v>
      </c>
      <c r="B5" s="1" t="s">
        <v>243</v>
      </c>
      <c r="C5" s="3" t="s">
        <v>247</v>
      </c>
      <c r="D5" s="70" t="s">
        <v>292</v>
      </c>
      <c r="E5" s="54">
        <v>30</v>
      </c>
      <c r="F5" s="52" t="s">
        <v>45</v>
      </c>
      <c r="G5" s="7">
        <v>42993</v>
      </c>
      <c r="H5" s="9">
        <v>200</v>
      </c>
      <c r="I5" s="8">
        <v>231</v>
      </c>
      <c r="J5" s="8">
        <v>46200</v>
      </c>
      <c r="K5" s="53">
        <v>42964</v>
      </c>
    </row>
    <row r="6" spans="1:16" ht="15" customHeight="1" x14ac:dyDescent="0.3">
      <c r="A6" s="66" t="s">
        <v>288</v>
      </c>
      <c r="B6" s="1" t="s">
        <v>243</v>
      </c>
      <c r="C6" s="3" t="s">
        <v>247</v>
      </c>
      <c r="D6" s="70" t="s">
        <v>293</v>
      </c>
      <c r="E6" s="54">
        <v>30</v>
      </c>
      <c r="F6" s="52" t="s">
        <v>45</v>
      </c>
      <c r="G6" s="7">
        <v>42993</v>
      </c>
      <c r="H6" s="9">
        <v>400</v>
      </c>
      <c r="I6" s="8">
        <v>231</v>
      </c>
      <c r="J6" s="8">
        <v>92400</v>
      </c>
      <c r="K6" s="53">
        <v>42964</v>
      </c>
    </row>
    <row r="7" spans="1:16" ht="18.75" x14ac:dyDescent="0.3">
      <c r="A7" s="531" t="s">
        <v>91</v>
      </c>
      <c r="B7" s="532"/>
      <c r="C7" s="13"/>
      <c r="D7" s="72"/>
      <c r="E7" s="13"/>
      <c r="F7" s="13"/>
      <c r="G7" s="13"/>
      <c r="H7" s="13"/>
      <c r="I7" s="13"/>
      <c r="J7" s="13"/>
      <c r="K7" s="14"/>
    </row>
    <row r="8" spans="1:16" x14ac:dyDescent="0.3">
      <c r="A8" s="49"/>
      <c r="B8" s="17" t="s">
        <v>76</v>
      </c>
      <c r="C8" s="37" t="s">
        <v>331</v>
      </c>
      <c r="D8" s="73"/>
      <c r="E8" s="37"/>
      <c r="F8" s="37"/>
      <c r="G8" s="37"/>
      <c r="H8" s="18"/>
      <c r="I8" s="18"/>
      <c r="J8" s="18"/>
      <c r="K8" s="19"/>
      <c r="M8" s="59" t="str">
        <f>+UPPER(H8)</f>
        <v/>
      </c>
    </row>
    <row r="9" spans="1:16" x14ac:dyDescent="0.3">
      <c r="A9" s="49"/>
      <c r="B9" s="17" t="s">
        <v>78</v>
      </c>
      <c r="C9" s="37" t="s">
        <v>332</v>
      </c>
      <c r="D9" s="73"/>
      <c r="E9" s="37"/>
      <c r="F9" s="37"/>
      <c r="G9" s="37"/>
      <c r="H9" s="18"/>
      <c r="I9" s="59"/>
      <c r="J9" s="18"/>
      <c r="K9" s="19"/>
    </row>
    <row r="10" spans="1:16" x14ac:dyDescent="0.3">
      <c r="A10" s="49"/>
      <c r="B10" s="17" t="s">
        <v>81</v>
      </c>
      <c r="C10" s="37" t="s">
        <v>333</v>
      </c>
      <c r="D10" s="73"/>
      <c r="E10" s="37"/>
      <c r="F10" s="37"/>
      <c r="G10" s="37"/>
      <c r="H10" s="18"/>
      <c r="I10" s="59"/>
      <c r="J10" s="18"/>
      <c r="K10" s="19"/>
    </row>
    <row r="11" spans="1:16" x14ac:dyDescent="0.3">
      <c r="A11" s="49"/>
      <c r="B11" s="56" t="s">
        <v>98</v>
      </c>
      <c r="C11" s="44" t="s">
        <v>334</v>
      </c>
      <c r="D11" s="73"/>
      <c r="E11" s="37"/>
      <c r="F11" s="37"/>
      <c r="G11" s="37"/>
      <c r="H11" s="18"/>
      <c r="I11" s="18"/>
      <c r="J11" s="18"/>
      <c r="K11" s="19"/>
    </row>
    <row r="12" spans="1:16" ht="15" x14ac:dyDescent="0.25">
      <c r="A12" s="50"/>
      <c r="B12" s="21"/>
      <c r="C12" s="21"/>
      <c r="D12" s="74"/>
      <c r="E12" s="21"/>
      <c r="F12" s="21"/>
      <c r="G12" s="21"/>
      <c r="H12" s="22"/>
      <c r="I12" s="22"/>
      <c r="J12" s="22"/>
      <c r="K12" s="23"/>
    </row>
  </sheetData>
  <mergeCells count="2">
    <mergeCell ref="L1:P1"/>
    <mergeCell ref="A7:B7"/>
  </mergeCells>
  <conditionalFormatting sqref="G3">
    <cfRule type="cellIs" dxfId="1830" priority="10" operator="between">
      <formula>TODAY()</formula>
      <formula>TODAY()+10</formula>
    </cfRule>
  </conditionalFormatting>
  <conditionalFormatting sqref="G4:G6">
    <cfRule type="cellIs" dxfId="1829" priority="1" operator="between">
      <formula>TODAY()</formula>
      <formula>TODAY()+10</formula>
    </cfRule>
  </conditionalFormatting>
  <dataValidations count="2">
    <dataValidation type="list" allowBlank="1" showInputMessage="1" showErrorMessage="1" sqref="B3:B6">
      <formula1>MATERIALES</formula1>
    </dataValidation>
    <dataValidation type="list" allowBlank="1" showInputMessage="1" showErrorMessage="1" sqref="C3:C6">
      <formula1>PROVEEDORES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GridLines="0" workbookViewId="0">
      <selection activeCell="A66" sqref="A66:XFD66"/>
    </sheetView>
  </sheetViews>
  <sheetFormatPr baseColWidth="10" defaultColWidth="11.44140625" defaultRowHeight="14.4" x14ac:dyDescent="0.3"/>
  <cols>
    <col min="1" max="1" width="12.5546875" style="10" bestFit="1" customWidth="1"/>
    <col min="2" max="2" width="23.44140625" style="10" customWidth="1"/>
    <col min="3" max="3" width="24" style="10" customWidth="1"/>
    <col min="4" max="4" width="11.5546875" style="76" bestFit="1" customWidth="1"/>
    <col min="5" max="5" width="4.44140625" style="10" bestFit="1" customWidth="1"/>
    <col min="6" max="6" width="6.44140625" style="10" bestFit="1" customWidth="1"/>
    <col min="7" max="10" width="11.44140625" style="10"/>
    <col min="11" max="11" width="11.44140625" style="10" customWidth="1"/>
    <col min="12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customHeight="1" x14ac:dyDescent="0.3">
      <c r="A3" s="66" t="s">
        <v>306</v>
      </c>
      <c r="B3" s="1" t="s">
        <v>310</v>
      </c>
      <c r="C3" s="3" t="s">
        <v>311</v>
      </c>
      <c r="D3" s="70"/>
      <c r="E3" s="67" t="s">
        <v>5</v>
      </c>
      <c r="F3" s="4"/>
      <c r="G3" s="7">
        <v>43000</v>
      </c>
      <c r="H3" s="9">
        <v>100</v>
      </c>
      <c r="I3" s="8">
        <v>760</v>
      </c>
      <c r="J3" s="8">
        <v>76000</v>
      </c>
      <c r="K3" s="53">
        <v>43000</v>
      </c>
      <c r="L3" s="537"/>
      <c r="M3" s="538"/>
      <c r="N3" s="538"/>
      <c r="O3" s="538"/>
    </row>
    <row r="4" spans="1:16" ht="18" x14ac:dyDescent="0.35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  <c r="L4" s="537"/>
      <c r="M4" s="538"/>
      <c r="N4" s="538"/>
      <c r="O4" s="538"/>
    </row>
    <row r="5" spans="1:16" x14ac:dyDescent="0.3">
      <c r="A5" s="49"/>
      <c r="B5" s="17" t="s">
        <v>76</v>
      </c>
      <c r="C5" s="37" t="s">
        <v>338</v>
      </c>
      <c r="D5" s="73"/>
      <c r="E5" s="37"/>
      <c r="F5" s="37"/>
      <c r="G5" s="37"/>
      <c r="H5" s="18"/>
      <c r="I5" s="18"/>
      <c r="J5" s="18"/>
      <c r="K5" s="19"/>
      <c r="L5" s="537"/>
      <c r="M5" s="538"/>
      <c r="N5" s="538"/>
      <c r="O5" s="538"/>
    </row>
    <row r="6" spans="1:16" x14ac:dyDescent="0.3">
      <c r="A6" s="49"/>
      <c r="B6" s="17" t="s">
        <v>78</v>
      </c>
      <c r="C6" s="37" t="s">
        <v>339</v>
      </c>
      <c r="D6" s="73"/>
      <c r="E6" s="37"/>
      <c r="F6" s="37"/>
      <c r="G6" s="37"/>
      <c r="H6" s="37"/>
      <c r="I6" s="18"/>
      <c r="J6" s="18"/>
      <c r="K6" s="19"/>
      <c r="L6" s="537"/>
      <c r="M6" s="538"/>
      <c r="N6" s="538"/>
      <c r="O6" s="538"/>
    </row>
    <row r="7" spans="1:16" x14ac:dyDescent="0.3">
      <c r="A7" s="49"/>
      <c r="B7" s="17" t="s">
        <v>81</v>
      </c>
      <c r="C7" s="44" t="s">
        <v>340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98</v>
      </c>
      <c r="C8" s="44" t="s">
        <v>341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83</v>
      </c>
      <c r="C9" s="44" t="s">
        <v>342</v>
      </c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49"/>
      <c r="B10" s="17" t="s">
        <v>121</v>
      </c>
      <c r="C10" s="90" t="s">
        <v>343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4" t="s">
        <v>344</v>
      </c>
      <c r="D11" s="73"/>
      <c r="E11" s="37"/>
      <c r="F11" s="37"/>
      <c r="G11" s="37"/>
      <c r="H11" s="18"/>
      <c r="I11" s="18"/>
      <c r="J11" s="18"/>
      <c r="K11" s="19"/>
    </row>
    <row r="12" spans="1:16" ht="15" x14ac:dyDescent="0.25">
      <c r="A12" s="50"/>
      <c r="B12" s="21"/>
      <c r="C12" s="21"/>
      <c r="D12" s="74"/>
      <c r="E12" s="21"/>
      <c r="F12" s="21"/>
      <c r="G12" s="21"/>
      <c r="H12" s="22"/>
      <c r="I12" s="22"/>
      <c r="J12" s="22"/>
      <c r="K12" s="23"/>
    </row>
  </sheetData>
  <mergeCells count="3">
    <mergeCell ref="L1:P1"/>
    <mergeCell ref="L3:O6"/>
    <mergeCell ref="A4:B4"/>
  </mergeCells>
  <conditionalFormatting sqref="G3">
    <cfRule type="cellIs" dxfId="1828" priority="19" operator="between">
      <formula>TODAY()</formula>
      <formula>TODAY()+10</formula>
    </cfRule>
  </conditionalFormatting>
  <conditionalFormatting sqref="G3">
    <cfRule type="cellIs" dxfId="1827" priority="18" operator="between">
      <formula>TODAY()</formula>
      <formula>TODAY()+10</formula>
    </cfRule>
  </conditionalFormatting>
  <dataValidations count="4">
    <dataValidation type="list" allowBlank="1" showInputMessage="1" showErrorMessage="1" sqref="F3">
      <formula1>PLAZOdePAGO2</formula1>
    </dataValidation>
    <dataValidation type="list" allowBlank="1" showInputMessage="1" showErrorMessage="1" sqref="C3:D3">
      <formula1>PROVEEDORES</formula1>
    </dataValidation>
    <dataValidation type="list" allowBlank="1" showInputMessage="1" showErrorMessage="1" sqref="B3">
      <formula1>MATERIALES</formula1>
    </dataValidation>
    <dataValidation type="list" allowBlank="1" showInputMessage="1" showErrorMessage="1" sqref="E3">
      <formula1>PLAZOdePAGO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topLeftCell="A19" workbookViewId="0">
      <selection activeCell="L14" sqref="L14"/>
    </sheetView>
  </sheetViews>
  <sheetFormatPr baseColWidth="10" defaultRowHeight="14.4" x14ac:dyDescent="0.3"/>
  <cols>
    <col min="2" max="2" width="27" bestFit="1" customWidth="1"/>
    <col min="3" max="3" width="15.44140625" bestFit="1" customWidth="1"/>
    <col min="5" max="5" width="4.44140625" bestFit="1" customWidth="1"/>
  </cols>
  <sheetData>
    <row r="1" spans="1:16" s="10" customFormat="1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s="10" customFormat="1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s="10" customFormat="1" ht="15" customHeight="1" x14ac:dyDescent="0.25">
      <c r="A3" s="66" t="s">
        <v>336</v>
      </c>
      <c r="B3" s="1" t="s">
        <v>6</v>
      </c>
      <c r="C3" s="3" t="s">
        <v>17</v>
      </c>
      <c r="D3" s="75"/>
      <c r="E3" s="5" t="s">
        <v>5</v>
      </c>
      <c r="F3" s="6"/>
      <c r="G3" s="7">
        <v>43004</v>
      </c>
      <c r="H3" s="9">
        <v>1000</v>
      </c>
      <c r="I3" s="8">
        <v>510</v>
      </c>
      <c r="J3" s="8">
        <f>+H3*I3*0.4</f>
        <v>204000</v>
      </c>
      <c r="K3" s="53">
        <v>43014</v>
      </c>
      <c r="L3" s="10" t="s">
        <v>366</v>
      </c>
    </row>
    <row r="4" spans="1:16" s="10" customFormat="1" ht="18.75" x14ac:dyDescent="0.3">
      <c r="A4" s="531" t="s">
        <v>91</v>
      </c>
      <c r="B4" s="532"/>
      <c r="C4" s="13"/>
      <c r="D4" s="72"/>
      <c r="E4" s="18"/>
      <c r="F4" s="18"/>
      <c r="G4" s="13"/>
      <c r="H4" s="13"/>
      <c r="I4" s="13"/>
      <c r="J4" s="13"/>
      <c r="K4" s="14"/>
    </row>
    <row r="5" spans="1:16" s="10" customFormat="1" x14ac:dyDescent="0.3">
      <c r="A5" s="49"/>
      <c r="B5" s="17" t="s">
        <v>76</v>
      </c>
      <c r="C5" s="37" t="s">
        <v>17</v>
      </c>
      <c r="D5" s="17"/>
      <c r="E5" s="37"/>
      <c r="F5" s="37"/>
      <c r="G5" s="37"/>
      <c r="H5" s="18"/>
      <c r="I5" s="18"/>
      <c r="J5" s="18"/>
      <c r="K5" s="19"/>
    </row>
    <row r="6" spans="1:16" s="10" customFormat="1" x14ac:dyDescent="0.3">
      <c r="A6" s="49"/>
      <c r="B6" s="17" t="s">
        <v>83</v>
      </c>
      <c r="C6" s="37" t="s">
        <v>349</v>
      </c>
      <c r="D6" s="17"/>
      <c r="E6" s="37"/>
      <c r="F6" s="37"/>
      <c r="G6" s="37"/>
      <c r="H6" s="18"/>
      <c r="I6" s="18"/>
      <c r="J6" s="18"/>
      <c r="K6" s="19"/>
    </row>
    <row r="7" spans="1:16" s="10" customFormat="1" x14ac:dyDescent="0.3">
      <c r="A7" s="49"/>
      <c r="B7" s="17" t="s">
        <v>81</v>
      </c>
      <c r="C7" s="37" t="s">
        <v>345</v>
      </c>
      <c r="D7" s="17"/>
      <c r="E7" s="37"/>
      <c r="F7" s="37"/>
      <c r="G7" s="37"/>
      <c r="H7" s="18"/>
      <c r="I7" s="18"/>
      <c r="J7" s="18"/>
      <c r="K7" s="19"/>
    </row>
    <row r="8" spans="1:16" s="10" customFormat="1" x14ac:dyDescent="0.3">
      <c r="A8" s="49"/>
      <c r="B8" s="17" t="s">
        <v>98</v>
      </c>
      <c r="C8" s="44" t="s">
        <v>346</v>
      </c>
      <c r="D8" s="17"/>
      <c r="E8" s="37"/>
      <c r="F8" s="37"/>
      <c r="G8" s="37"/>
      <c r="H8" s="18"/>
      <c r="I8" s="18"/>
      <c r="J8" s="18"/>
      <c r="K8" s="19"/>
    </row>
    <row r="9" spans="1:16" s="10" customFormat="1" x14ac:dyDescent="0.3">
      <c r="A9" s="49"/>
      <c r="B9" s="17" t="s">
        <v>84</v>
      </c>
      <c r="C9" s="44" t="s">
        <v>347</v>
      </c>
      <c r="D9" s="17"/>
      <c r="E9" s="37"/>
      <c r="F9" s="37"/>
      <c r="G9" s="37"/>
      <c r="H9" s="18"/>
      <c r="I9" s="18"/>
      <c r="J9" s="18"/>
      <c r="K9" s="19"/>
    </row>
    <row r="10" spans="1:16" s="10" customFormat="1" x14ac:dyDescent="0.3">
      <c r="A10" s="49"/>
      <c r="B10" s="17" t="s">
        <v>85</v>
      </c>
      <c r="C10" s="44" t="s">
        <v>348</v>
      </c>
      <c r="D10" s="17"/>
      <c r="E10" s="37"/>
      <c r="F10" s="37"/>
      <c r="G10" s="37"/>
      <c r="H10" s="18"/>
      <c r="I10" s="18"/>
      <c r="J10" s="18"/>
      <c r="K10" s="19"/>
    </row>
    <row r="11" spans="1:16" s="10" customFormat="1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s="10" customFormat="1" ht="5.0999999999999996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ht="15" x14ac:dyDescent="0.25">
      <c r="A13" s="66" t="s">
        <v>61</v>
      </c>
      <c r="B13" s="1" t="s">
        <v>6</v>
      </c>
      <c r="C13" s="89" t="s">
        <v>17</v>
      </c>
      <c r="D13" s="52" t="s">
        <v>365</v>
      </c>
      <c r="E13" s="5" t="s">
        <v>5</v>
      </c>
      <c r="F13" s="6"/>
      <c r="G13" s="7">
        <v>43007</v>
      </c>
      <c r="H13" s="9">
        <v>100</v>
      </c>
      <c r="I13" s="8">
        <v>504</v>
      </c>
      <c r="J13" s="8">
        <f>+I13*H13*0.7</f>
        <v>35280</v>
      </c>
      <c r="K13" s="88">
        <v>42984</v>
      </c>
      <c r="L13" t="s">
        <v>350</v>
      </c>
    </row>
    <row r="14" spans="1:16" ht="18.75" x14ac:dyDescent="0.3">
      <c r="A14" s="531" t="s">
        <v>91</v>
      </c>
      <c r="B14" s="532"/>
      <c r="C14" s="13"/>
      <c r="D14" s="72"/>
      <c r="E14" s="18"/>
      <c r="F14" s="18"/>
      <c r="G14" s="13"/>
      <c r="H14" s="13"/>
      <c r="I14" s="13"/>
      <c r="J14" s="13"/>
      <c r="K14" s="14"/>
    </row>
    <row r="15" spans="1:16" x14ac:dyDescent="0.3">
      <c r="A15" s="49"/>
      <c r="B15" s="17" t="s">
        <v>76</v>
      </c>
      <c r="C15" s="37" t="s">
        <v>17</v>
      </c>
      <c r="D15" s="17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17" t="s">
        <v>83</v>
      </c>
      <c r="C16" s="37" t="s">
        <v>349</v>
      </c>
      <c r="D16" s="17"/>
      <c r="E16" s="37"/>
      <c r="F16" s="37"/>
      <c r="G16" s="37"/>
      <c r="H16" s="37"/>
      <c r="I16" s="18"/>
      <c r="J16" s="18"/>
      <c r="K16" s="19"/>
    </row>
    <row r="17" spans="1:12" x14ac:dyDescent="0.3">
      <c r="A17" s="49"/>
      <c r="B17" s="17" t="s">
        <v>81</v>
      </c>
      <c r="C17" s="37" t="s">
        <v>345</v>
      </c>
      <c r="D17" s="17"/>
      <c r="E17" s="37"/>
      <c r="F17" s="37"/>
      <c r="G17" s="37"/>
      <c r="H17" s="18"/>
      <c r="I17" s="18"/>
      <c r="J17" s="18"/>
      <c r="K17" s="19"/>
    </row>
    <row r="18" spans="1:12" x14ac:dyDescent="0.3">
      <c r="A18" s="49"/>
      <c r="B18" s="17" t="s">
        <v>98</v>
      </c>
      <c r="C18" s="44" t="s">
        <v>346</v>
      </c>
      <c r="D18" s="17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84</v>
      </c>
      <c r="C19" s="44" t="s">
        <v>347</v>
      </c>
      <c r="D19" s="17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85</v>
      </c>
      <c r="C20" s="44" t="s">
        <v>348</v>
      </c>
      <c r="D20" s="17"/>
      <c r="E20" s="37"/>
      <c r="F20" s="37"/>
      <c r="G20" s="37"/>
      <c r="H20" s="18"/>
      <c r="I20" s="18"/>
      <c r="J20" s="18"/>
      <c r="K20" s="19"/>
    </row>
    <row r="21" spans="1:12" ht="15" x14ac:dyDescent="0.25">
      <c r="A21" s="50"/>
      <c r="B21" s="21"/>
      <c r="C21" s="21"/>
      <c r="D21" s="74"/>
      <c r="E21" s="21"/>
      <c r="F21" s="21"/>
      <c r="G21" s="21"/>
      <c r="H21" s="22"/>
      <c r="I21" s="22"/>
      <c r="J21" s="22"/>
      <c r="K21" s="23"/>
    </row>
    <row r="22" spans="1:12" s="10" customFormat="1" ht="5.0999999999999996" customHeight="1" x14ac:dyDescent="0.25">
      <c r="A22" s="47"/>
      <c r="B22" s="24"/>
      <c r="C22" s="24"/>
      <c r="D22" s="71"/>
      <c r="E22" s="24"/>
      <c r="F22" s="24"/>
      <c r="G22" s="24"/>
      <c r="H22" s="24"/>
      <c r="I22" s="24"/>
      <c r="J22" s="24"/>
      <c r="K22" s="24"/>
    </row>
    <row r="23" spans="1:12" s="10" customFormat="1" ht="15" x14ac:dyDescent="0.25">
      <c r="A23" s="66" t="s">
        <v>269</v>
      </c>
      <c r="B23" s="1" t="s">
        <v>4</v>
      </c>
      <c r="C23" s="89" t="s">
        <v>245</v>
      </c>
      <c r="D23" s="52" t="s">
        <v>367</v>
      </c>
      <c r="E23" s="5" t="s">
        <v>5</v>
      </c>
      <c r="F23" s="6"/>
      <c r="G23" s="7">
        <v>43007</v>
      </c>
      <c r="H23" s="9">
        <v>392.06200000000001</v>
      </c>
      <c r="I23" s="8">
        <v>501</v>
      </c>
      <c r="J23" s="8">
        <f>+I23*H23</f>
        <v>196423.06200000001</v>
      </c>
      <c r="K23" s="88">
        <v>43003</v>
      </c>
      <c r="L23" s="92"/>
    </row>
    <row r="24" spans="1:12" s="10" customFormat="1" ht="18.75" x14ac:dyDescent="0.3">
      <c r="A24" s="531" t="s">
        <v>91</v>
      </c>
      <c r="B24" s="532"/>
      <c r="C24" s="13"/>
      <c r="D24" s="72"/>
      <c r="E24" s="13"/>
      <c r="F24" s="13"/>
      <c r="G24" s="13"/>
      <c r="H24" s="13"/>
      <c r="I24" s="13"/>
      <c r="J24" s="13"/>
      <c r="K24" s="14"/>
    </row>
    <row r="25" spans="1:12" s="10" customFormat="1" x14ac:dyDescent="0.3">
      <c r="A25" s="49"/>
      <c r="B25" s="17" t="s">
        <v>76</v>
      </c>
      <c r="C25" s="37" t="s">
        <v>303</v>
      </c>
      <c r="D25" s="73"/>
      <c r="E25" s="37"/>
      <c r="F25" s="37"/>
      <c r="G25" s="37"/>
      <c r="H25" s="18"/>
      <c r="I25" s="18"/>
      <c r="J25" s="18"/>
      <c r="K25" s="19"/>
    </row>
    <row r="26" spans="1:12" s="10" customFormat="1" x14ac:dyDescent="0.3">
      <c r="A26" s="49"/>
      <c r="B26" s="17" t="s">
        <v>78</v>
      </c>
      <c r="C26" s="37" t="s">
        <v>304</v>
      </c>
      <c r="D26" s="73"/>
      <c r="E26" s="37"/>
      <c r="F26" s="37"/>
      <c r="G26" s="37"/>
      <c r="H26" s="18"/>
      <c r="I26" s="59"/>
      <c r="J26" s="18"/>
      <c r="K26" s="19"/>
    </row>
    <row r="27" spans="1:12" s="10" customFormat="1" x14ac:dyDescent="0.3">
      <c r="A27" s="49"/>
      <c r="B27" s="56" t="s">
        <v>98</v>
      </c>
      <c r="C27" s="45" t="s">
        <v>305</v>
      </c>
      <c r="D27" s="73"/>
      <c r="E27" s="37"/>
      <c r="F27" s="37"/>
      <c r="G27" s="37"/>
      <c r="H27" s="18"/>
      <c r="I27" s="18"/>
      <c r="J27" s="18"/>
      <c r="K27" s="19"/>
    </row>
    <row r="28" spans="1:12" s="10" customFormat="1" ht="15" x14ac:dyDescent="0.25">
      <c r="A28" s="49"/>
      <c r="B28" s="17" t="s">
        <v>169</v>
      </c>
      <c r="C28" s="17" t="s">
        <v>300</v>
      </c>
      <c r="D28" s="73"/>
      <c r="E28" s="37"/>
      <c r="F28" s="37"/>
      <c r="G28" s="37"/>
      <c r="H28" s="18"/>
      <c r="I28" s="18"/>
      <c r="J28" s="18"/>
      <c r="K28" s="19"/>
    </row>
    <row r="29" spans="1:12" s="10" customFormat="1" x14ac:dyDescent="0.3">
      <c r="A29" s="49"/>
      <c r="B29" s="17" t="s">
        <v>85</v>
      </c>
      <c r="C29" s="44" t="s">
        <v>301</v>
      </c>
      <c r="D29" s="73"/>
      <c r="E29" s="37"/>
      <c r="F29" s="37"/>
      <c r="G29" s="37"/>
      <c r="H29" s="18"/>
      <c r="I29" s="18"/>
      <c r="J29" s="18"/>
      <c r="K29" s="19"/>
    </row>
    <row r="30" spans="1:12" s="10" customFormat="1" x14ac:dyDescent="0.3">
      <c r="A30" s="49"/>
      <c r="B30" s="17" t="s">
        <v>81</v>
      </c>
      <c r="C30" s="45" t="s">
        <v>302</v>
      </c>
      <c r="D30" s="73"/>
      <c r="E30" s="37"/>
      <c r="F30" s="37"/>
      <c r="G30" s="37"/>
      <c r="H30" s="18"/>
      <c r="I30" s="18"/>
      <c r="J30" s="18"/>
      <c r="K30" s="19"/>
    </row>
    <row r="31" spans="1:12" s="10" customFormat="1" ht="15" x14ac:dyDescent="0.25">
      <c r="A31" s="50"/>
      <c r="B31" s="21"/>
      <c r="C31" s="21"/>
      <c r="D31" s="74"/>
      <c r="E31" s="21"/>
      <c r="F31" s="21"/>
      <c r="G31" s="21"/>
      <c r="H31" s="22"/>
      <c r="I31" s="22"/>
      <c r="J31" s="22"/>
      <c r="K31" s="23"/>
    </row>
    <row r="32" spans="1:12" s="10" customFormat="1" ht="5.0999999999999996" customHeight="1" x14ac:dyDescent="0.25">
      <c r="A32" s="47"/>
      <c r="B32" s="24"/>
      <c r="C32" s="24"/>
      <c r="D32" s="71"/>
      <c r="E32" s="24"/>
      <c r="F32" s="24"/>
      <c r="G32" s="24"/>
      <c r="H32" s="24"/>
      <c r="I32" s="24"/>
      <c r="J32" s="24"/>
      <c r="K32" s="24"/>
    </row>
    <row r="33" spans="1:13" s="10" customFormat="1" ht="15" x14ac:dyDescent="0.25">
      <c r="A33" s="66" t="s">
        <v>307</v>
      </c>
      <c r="B33" s="1" t="s">
        <v>56</v>
      </c>
      <c r="C33" s="89" t="s">
        <v>50</v>
      </c>
      <c r="D33" s="7" t="s">
        <v>364</v>
      </c>
      <c r="E33" s="5" t="s">
        <v>5</v>
      </c>
      <c r="F33" s="6"/>
      <c r="G33" s="7">
        <v>43007</v>
      </c>
      <c r="H33" s="9">
        <v>240</v>
      </c>
      <c r="I33" s="8">
        <v>315</v>
      </c>
      <c r="J33" s="8">
        <f>+I33*H33</f>
        <v>75600</v>
      </c>
      <c r="K33" s="88">
        <v>43004</v>
      </c>
      <c r="L33" s="92"/>
    </row>
    <row r="34" spans="1:13" s="10" customFormat="1" ht="18.75" x14ac:dyDescent="0.3">
      <c r="A34" s="531" t="s">
        <v>91</v>
      </c>
      <c r="B34" s="532"/>
      <c r="C34" s="13"/>
      <c r="D34" s="13"/>
      <c r="E34" s="13"/>
      <c r="F34" s="13"/>
      <c r="G34" s="13"/>
      <c r="H34" s="13"/>
      <c r="I34" s="13"/>
      <c r="J34" s="13"/>
      <c r="K34" s="14"/>
    </row>
    <row r="35" spans="1:13" s="10" customFormat="1" x14ac:dyDescent="0.3">
      <c r="A35" s="49"/>
      <c r="B35" s="17" t="s">
        <v>76</v>
      </c>
      <c r="C35" s="37" t="s">
        <v>192</v>
      </c>
      <c r="D35" s="37"/>
      <c r="E35" s="37"/>
      <c r="F35" s="37"/>
      <c r="G35" s="37"/>
      <c r="H35" s="18"/>
      <c r="I35" s="18"/>
      <c r="J35" s="18"/>
      <c r="K35" s="19"/>
      <c r="M35" s="59" t="str">
        <f>+UPPER(H35)</f>
        <v/>
      </c>
    </row>
    <row r="36" spans="1:13" s="10" customFormat="1" x14ac:dyDescent="0.3">
      <c r="A36" s="49"/>
      <c r="B36" s="17" t="s">
        <v>78</v>
      </c>
      <c r="C36" s="37" t="s">
        <v>193</v>
      </c>
      <c r="D36" s="37"/>
      <c r="E36" s="37"/>
      <c r="F36" s="37"/>
      <c r="G36" s="37"/>
      <c r="H36" s="18"/>
      <c r="I36" s="59"/>
      <c r="J36" s="18"/>
      <c r="K36" s="19"/>
    </row>
    <row r="37" spans="1:13" s="10" customFormat="1" x14ac:dyDescent="0.3">
      <c r="A37" s="49"/>
      <c r="B37" s="56" t="s">
        <v>98</v>
      </c>
      <c r="C37" s="45" t="s">
        <v>194</v>
      </c>
      <c r="D37" s="37"/>
      <c r="E37" s="37"/>
      <c r="F37" s="37"/>
      <c r="G37" s="37"/>
      <c r="H37" s="18"/>
      <c r="I37" s="18"/>
      <c r="J37" s="18"/>
      <c r="K37" s="19"/>
    </row>
    <row r="38" spans="1:13" s="10" customFormat="1" ht="15" x14ac:dyDescent="0.25">
      <c r="A38" s="49"/>
      <c r="B38" s="17" t="s">
        <v>169</v>
      </c>
      <c r="C38" s="17" t="s">
        <v>196</v>
      </c>
      <c r="D38" s="37"/>
      <c r="E38" s="37"/>
      <c r="F38" s="37"/>
      <c r="G38" s="37"/>
      <c r="H38" s="18"/>
      <c r="I38" s="18"/>
      <c r="J38" s="18"/>
      <c r="K38" s="19"/>
    </row>
    <row r="39" spans="1:13" s="10" customFormat="1" x14ac:dyDescent="0.3">
      <c r="A39" s="49"/>
      <c r="B39" s="17" t="s">
        <v>85</v>
      </c>
      <c r="C39" s="44" t="s">
        <v>195</v>
      </c>
      <c r="D39" s="37"/>
      <c r="E39" s="37"/>
      <c r="F39" s="37"/>
      <c r="G39" s="37"/>
      <c r="H39" s="18"/>
      <c r="I39" s="18"/>
      <c r="J39" s="18"/>
      <c r="K39" s="19"/>
    </row>
    <row r="40" spans="1:13" s="10" customFormat="1" x14ac:dyDescent="0.3">
      <c r="A40" s="49"/>
      <c r="B40" s="56" t="s">
        <v>165</v>
      </c>
      <c r="C40" s="45" t="s">
        <v>197</v>
      </c>
      <c r="D40" s="37"/>
      <c r="E40" s="37"/>
      <c r="F40" s="37"/>
      <c r="G40" s="37"/>
      <c r="H40" s="18"/>
      <c r="I40" s="18"/>
      <c r="J40" s="18"/>
      <c r="K40" s="19"/>
    </row>
    <row r="41" spans="1:13" s="10" customFormat="1" x14ac:dyDescent="0.3">
      <c r="A41" s="49"/>
      <c r="B41" s="17" t="s">
        <v>85</v>
      </c>
      <c r="C41" s="45" t="s">
        <v>199</v>
      </c>
      <c r="D41" s="37"/>
      <c r="E41" s="37"/>
      <c r="F41" s="37"/>
      <c r="G41" s="37"/>
      <c r="H41" s="18"/>
      <c r="I41" s="18"/>
      <c r="J41" s="18"/>
      <c r="K41" s="19"/>
    </row>
    <row r="42" spans="1:13" s="10" customFormat="1" x14ac:dyDescent="0.3">
      <c r="A42" s="49"/>
      <c r="B42" s="56" t="s">
        <v>198</v>
      </c>
      <c r="C42" s="45" t="s">
        <v>200</v>
      </c>
      <c r="D42" s="37"/>
      <c r="E42" s="37"/>
      <c r="F42" s="37"/>
      <c r="G42" s="37"/>
      <c r="H42" s="18"/>
      <c r="I42" s="18"/>
      <c r="J42" s="18"/>
      <c r="K42" s="19"/>
    </row>
    <row r="43" spans="1:13" s="10" customFormat="1" x14ac:dyDescent="0.3">
      <c r="A43" s="49"/>
      <c r="B43" s="17" t="s">
        <v>85</v>
      </c>
      <c r="C43" s="45" t="s">
        <v>201</v>
      </c>
      <c r="D43" s="37"/>
      <c r="E43" s="37"/>
      <c r="F43" s="37"/>
      <c r="G43" s="37"/>
      <c r="H43" s="18"/>
      <c r="I43" s="18"/>
      <c r="J43" s="18"/>
      <c r="K43" s="19"/>
    </row>
    <row r="44" spans="1:13" s="10" customFormat="1" ht="15" x14ac:dyDescent="0.25">
      <c r="A44" s="50"/>
      <c r="B44" s="21"/>
      <c r="C44" s="21"/>
      <c r="D44" s="21"/>
      <c r="E44" s="21"/>
      <c r="F44" s="21"/>
      <c r="G44" s="21"/>
      <c r="H44" s="22"/>
      <c r="I44" s="22"/>
      <c r="J44" s="22"/>
      <c r="K44" s="23"/>
    </row>
  </sheetData>
  <mergeCells count="5">
    <mergeCell ref="A4:B4"/>
    <mergeCell ref="L1:P1"/>
    <mergeCell ref="A14:B14"/>
    <mergeCell ref="A24:B24"/>
    <mergeCell ref="A34:B34"/>
  </mergeCells>
  <conditionalFormatting sqref="G3">
    <cfRule type="cellIs" dxfId="1826" priority="8" operator="between">
      <formula>TODAY()</formula>
      <formula>TODAY()+10</formula>
    </cfRule>
  </conditionalFormatting>
  <conditionalFormatting sqref="G3">
    <cfRule type="cellIs" dxfId="1825" priority="7" operator="between">
      <formula>TODAY()</formula>
      <formula>TODAY()+10</formula>
    </cfRule>
  </conditionalFormatting>
  <conditionalFormatting sqref="G23">
    <cfRule type="cellIs" dxfId="1824" priority="3" operator="between">
      <formula>TODAY()</formula>
      <formula>TODAY()+10</formula>
    </cfRule>
  </conditionalFormatting>
  <conditionalFormatting sqref="G13">
    <cfRule type="cellIs" dxfId="1823" priority="6" operator="between">
      <formula>TODAY()</formula>
      <formula>TODAY()+10</formula>
    </cfRule>
  </conditionalFormatting>
  <conditionalFormatting sqref="G33">
    <cfRule type="cellIs" dxfId="1822" priority="1" operator="between">
      <formula>TODAY()</formula>
      <formula>TODAY()+10</formula>
    </cfRule>
  </conditionalFormatting>
  <dataValidations count="4">
    <dataValidation type="list" allowBlank="1" showInputMessage="1" showErrorMessage="1" sqref="E3 E23 E33">
      <formula1>PLAZOdePAGO</formula1>
    </dataValidation>
    <dataValidation type="list" allowBlank="1" showInputMessage="1" showErrorMessage="1" sqref="B3 B13">
      <formula1>MATERIALES</formula1>
    </dataValidation>
    <dataValidation type="list" allowBlank="1" showInputMessage="1" showErrorMessage="1" sqref="C3 C13">
      <formula1>PROVEEDORES</formula1>
    </dataValidation>
    <dataValidation type="list" allowBlank="1" showInputMessage="1" showErrorMessage="1" sqref="F3 F23">
      <formula1>PLAZOdePAGO2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workbookViewId="0">
      <selection activeCell="A26" sqref="A26:XFD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customHeight="1" x14ac:dyDescent="0.3">
      <c r="A3" s="66" t="s">
        <v>57</v>
      </c>
      <c r="B3" s="1" t="s">
        <v>28</v>
      </c>
      <c r="C3" s="96" t="s">
        <v>27</v>
      </c>
      <c r="D3" s="75" t="s">
        <v>369</v>
      </c>
      <c r="E3" s="5">
        <v>90</v>
      </c>
      <c r="F3" s="6" t="s">
        <v>20</v>
      </c>
      <c r="G3" s="7">
        <v>43014</v>
      </c>
      <c r="H3" s="9">
        <v>110</v>
      </c>
      <c r="I3" s="8">
        <v>237</v>
      </c>
      <c r="J3" s="8">
        <v>26070</v>
      </c>
      <c r="K3" s="94">
        <v>42927</v>
      </c>
      <c r="L3" s="10" t="s">
        <v>370</v>
      </c>
    </row>
    <row r="4" spans="1:16" ht="18.75" x14ac:dyDescent="0.3">
      <c r="A4" s="531" t="s">
        <v>91</v>
      </c>
      <c r="B4" s="532"/>
      <c r="C4" s="13"/>
      <c r="D4" s="72"/>
      <c r="E4" s="18"/>
      <c r="F4" s="18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123</v>
      </c>
      <c r="D5" s="17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 t="s">
        <v>125</v>
      </c>
      <c r="D6" s="17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98</v>
      </c>
      <c r="C7" s="44" t="s">
        <v>373</v>
      </c>
      <c r="D7" s="17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83</v>
      </c>
      <c r="C8" s="44" t="s">
        <v>374</v>
      </c>
      <c r="D8" s="17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372</v>
      </c>
      <c r="D9" s="17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 t="s">
        <v>122</v>
      </c>
      <c r="D10" s="17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ht="5.0999999999999996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x14ac:dyDescent="0.3">
      <c r="A13" s="66" t="s">
        <v>240</v>
      </c>
      <c r="B13" s="1" t="s">
        <v>289</v>
      </c>
      <c r="C13" s="96" t="s">
        <v>277</v>
      </c>
      <c r="D13" s="12" t="s">
        <v>371</v>
      </c>
      <c r="E13" s="67" t="s">
        <v>5</v>
      </c>
      <c r="F13" s="95"/>
      <c r="G13" s="94">
        <v>43014</v>
      </c>
      <c r="H13" s="9">
        <v>609</v>
      </c>
      <c r="I13" s="8">
        <v>367</v>
      </c>
      <c r="J13" s="8">
        <v>223503</v>
      </c>
      <c r="K13" s="94">
        <v>43006</v>
      </c>
    </row>
    <row r="14" spans="1:16" ht="15" x14ac:dyDescent="0.25">
      <c r="A14" s="66" t="s">
        <v>260</v>
      </c>
      <c r="B14" s="1" t="s">
        <v>278</v>
      </c>
      <c r="C14" s="96" t="s">
        <v>277</v>
      </c>
      <c r="D14" s="12" t="s">
        <v>368</v>
      </c>
      <c r="E14" s="67" t="s">
        <v>5</v>
      </c>
      <c r="F14" s="95"/>
      <c r="G14" s="94">
        <v>43014</v>
      </c>
      <c r="H14" s="9">
        <v>125</v>
      </c>
      <c r="I14" s="8">
        <v>312</v>
      </c>
      <c r="J14" s="8">
        <v>39000</v>
      </c>
      <c r="K14" s="94">
        <v>43013</v>
      </c>
    </row>
    <row r="15" spans="1:16" ht="18.75" x14ac:dyDescent="0.3">
      <c r="A15" s="539" t="s">
        <v>91</v>
      </c>
      <c r="B15" s="540"/>
      <c r="C15" s="18"/>
      <c r="D15" s="73"/>
      <c r="E15" s="18"/>
      <c r="F15" s="18"/>
      <c r="G15" s="18"/>
      <c r="H15" s="18"/>
      <c r="I15" s="18"/>
      <c r="J15" s="18"/>
      <c r="K15" s="19"/>
    </row>
    <row r="16" spans="1:16" x14ac:dyDescent="0.3">
      <c r="A16" s="49"/>
      <c r="B16" s="17" t="s">
        <v>76</v>
      </c>
      <c r="C16" s="37" t="s">
        <v>375</v>
      </c>
      <c r="D16" s="17"/>
      <c r="E16" s="37"/>
      <c r="F16" s="37"/>
      <c r="G16" s="37"/>
      <c r="H16" s="18"/>
      <c r="I16" s="18"/>
      <c r="J16" s="18"/>
      <c r="K16" s="19"/>
    </row>
    <row r="17" spans="1:12" x14ac:dyDescent="0.3">
      <c r="A17" s="49"/>
      <c r="B17" s="17" t="s">
        <v>83</v>
      </c>
      <c r="C17" s="37" t="s">
        <v>376</v>
      </c>
      <c r="D17" s="17"/>
      <c r="E17" s="37"/>
      <c r="F17" s="37"/>
      <c r="G17" s="37"/>
      <c r="H17" s="37"/>
      <c r="I17" s="18"/>
      <c r="J17" s="18"/>
      <c r="K17" s="19"/>
    </row>
    <row r="18" spans="1:12" x14ac:dyDescent="0.3">
      <c r="A18" s="49"/>
      <c r="B18" s="17" t="s">
        <v>81</v>
      </c>
      <c r="C18" s="17">
        <v>17450117</v>
      </c>
      <c r="D18" s="17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98</v>
      </c>
      <c r="C19" s="44" t="s">
        <v>315</v>
      </c>
      <c r="D19" s="17"/>
      <c r="E19" s="37"/>
      <c r="F19" s="37"/>
      <c r="G19" s="37"/>
      <c r="H19" s="18"/>
      <c r="I19" s="18"/>
      <c r="J19" s="18"/>
      <c r="K19" s="19"/>
    </row>
    <row r="20" spans="1:12" ht="15" x14ac:dyDescent="0.25">
      <c r="A20" s="49"/>
      <c r="B20" s="17" t="s">
        <v>377</v>
      </c>
      <c r="C20" s="45">
        <v>89147</v>
      </c>
      <c r="D20" s="17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84</v>
      </c>
      <c r="C21" s="44" t="s">
        <v>318</v>
      </c>
      <c r="D21" s="17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85</v>
      </c>
      <c r="C22" s="44" t="s">
        <v>319</v>
      </c>
      <c r="D22" s="17"/>
      <c r="E22" s="37"/>
      <c r="F22" s="37"/>
      <c r="G22" s="37"/>
      <c r="H22" s="18"/>
      <c r="I22" s="18"/>
      <c r="J22" s="18"/>
      <c r="K22" s="19"/>
    </row>
    <row r="23" spans="1:12" ht="15" x14ac:dyDescent="0.25">
      <c r="A23" s="50"/>
      <c r="B23" s="21"/>
      <c r="C23" s="21"/>
      <c r="D23" s="74"/>
      <c r="E23" s="21"/>
      <c r="F23" s="21"/>
      <c r="G23" s="21"/>
      <c r="H23" s="22"/>
      <c r="I23" s="22"/>
      <c r="J23" s="22"/>
      <c r="K23" s="23"/>
    </row>
    <row r="24" spans="1:12" ht="5.0999999999999996" customHeight="1" x14ac:dyDescent="0.25">
      <c r="A24" s="47"/>
      <c r="B24" s="24"/>
      <c r="C24" s="24"/>
      <c r="D24" s="71"/>
      <c r="E24" s="24"/>
      <c r="F24" s="24"/>
      <c r="G24" s="24"/>
      <c r="H24" s="24"/>
      <c r="I24" s="24"/>
      <c r="J24" s="24"/>
      <c r="K24" s="24"/>
    </row>
    <row r="25" spans="1:12" ht="15" x14ac:dyDescent="0.25">
      <c r="A25" s="66" t="s">
        <v>270</v>
      </c>
      <c r="B25" s="1" t="s">
        <v>4</v>
      </c>
      <c r="C25" s="96" t="s">
        <v>245</v>
      </c>
      <c r="D25" s="52" t="s">
        <v>378</v>
      </c>
      <c r="E25" s="5" t="s">
        <v>5</v>
      </c>
      <c r="F25" s="6"/>
      <c r="G25" s="7">
        <v>43014</v>
      </c>
      <c r="H25" s="9">
        <v>392.07600000000002</v>
      </c>
      <c r="I25" s="8">
        <v>506</v>
      </c>
      <c r="J25" s="8">
        <f>+I25*H25</f>
        <v>198390.45600000001</v>
      </c>
      <c r="K25" s="94">
        <v>43002</v>
      </c>
      <c r="L25" s="92"/>
    </row>
    <row r="26" spans="1:12" ht="18.75" x14ac:dyDescent="0.3">
      <c r="A26" s="531" t="s">
        <v>91</v>
      </c>
      <c r="B26" s="532"/>
      <c r="C26" s="13"/>
      <c r="D26" s="72"/>
      <c r="E26" s="13"/>
      <c r="F26" s="13"/>
      <c r="G26" s="13"/>
      <c r="H26" s="13"/>
      <c r="I26" s="13"/>
      <c r="J26" s="13"/>
      <c r="K26" s="14"/>
    </row>
    <row r="27" spans="1:12" x14ac:dyDescent="0.3">
      <c r="A27" s="49"/>
      <c r="B27" s="17" t="s">
        <v>76</v>
      </c>
      <c r="C27" s="37" t="s">
        <v>303</v>
      </c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78</v>
      </c>
      <c r="C28" s="37" t="s">
        <v>304</v>
      </c>
      <c r="D28" s="73"/>
      <c r="E28" s="37"/>
      <c r="F28" s="37"/>
      <c r="G28" s="37"/>
      <c r="H28" s="18"/>
      <c r="I28" s="59"/>
      <c r="J28" s="18"/>
      <c r="K28" s="19"/>
    </row>
    <row r="29" spans="1:12" x14ac:dyDescent="0.3">
      <c r="A29" s="49"/>
      <c r="B29" s="56" t="s">
        <v>98</v>
      </c>
      <c r="C29" s="45" t="s">
        <v>305</v>
      </c>
      <c r="D29" s="73"/>
      <c r="E29" s="37"/>
      <c r="F29" s="37"/>
      <c r="G29" s="37"/>
      <c r="H29" s="18"/>
      <c r="I29" s="18"/>
      <c r="J29" s="18"/>
      <c r="K29" s="19"/>
    </row>
    <row r="30" spans="1:12" ht="15" x14ac:dyDescent="0.25">
      <c r="A30" s="49"/>
      <c r="B30" s="17" t="s">
        <v>169</v>
      </c>
      <c r="C30" s="17" t="s">
        <v>300</v>
      </c>
      <c r="D30" s="73"/>
      <c r="E30" s="37"/>
      <c r="F30" s="37"/>
      <c r="G30" s="37"/>
      <c r="H30" s="18"/>
      <c r="I30" s="18"/>
      <c r="J30" s="18"/>
      <c r="K30" s="19"/>
    </row>
    <row r="31" spans="1:12" x14ac:dyDescent="0.3">
      <c r="A31" s="49"/>
      <c r="B31" s="17" t="s">
        <v>85</v>
      </c>
      <c r="C31" s="44" t="s">
        <v>301</v>
      </c>
      <c r="D31" s="73"/>
      <c r="E31" s="37"/>
      <c r="F31" s="37"/>
      <c r="G31" s="37"/>
      <c r="H31" s="18"/>
      <c r="I31" s="18"/>
      <c r="J31" s="18"/>
      <c r="K31" s="19"/>
    </row>
    <row r="32" spans="1:12" x14ac:dyDescent="0.3">
      <c r="A32" s="49"/>
      <c r="B32" s="17" t="s">
        <v>81</v>
      </c>
      <c r="C32" s="45" t="s">
        <v>302</v>
      </c>
      <c r="D32" s="73"/>
      <c r="E32" s="37"/>
      <c r="F32" s="37"/>
      <c r="G32" s="37"/>
      <c r="H32" s="18"/>
      <c r="I32" s="18"/>
      <c r="J32" s="18"/>
      <c r="K32" s="19"/>
    </row>
    <row r="33" spans="1:13" x14ac:dyDescent="0.3">
      <c r="A33" s="50"/>
      <c r="B33" s="21"/>
      <c r="C33" s="21"/>
      <c r="D33" s="74"/>
      <c r="E33" s="21"/>
      <c r="F33" s="21"/>
      <c r="G33" s="21"/>
      <c r="H33" s="22"/>
      <c r="I33" s="22"/>
      <c r="J33" s="22"/>
      <c r="K33" s="23"/>
    </row>
    <row r="34" spans="1:13" ht="5.0999999999999996" customHeight="1" x14ac:dyDescent="0.3">
      <c r="A34" s="47"/>
      <c r="B34" s="24"/>
      <c r="C34" s="24"/>
      <c r="D34" s="71"/>
      <c r="E34" s="24"/>
      <c r="F34" s="24"/>
      <c r="G34" s="24"/>
      <c r="H34" s="24"/>
      <c r="I34" s="24"/>
      <c r="J34" s="24"/>
      <c r="K34" s="24"/>
    </row>
    <row r="35" spans="1:13" x14ac:dyDescent="0.3">
      <c r="A35" s="66" t="s">
        <v>354</v>
      </c>
      <c r="B35" s="1" t="s">
        <v>310</v>
      </c>
      <c r="C35" s="96" t="s">
        <v>311</v>
      </c>
      <c r="D35" s="52" t="s">
        <v>379</v>
      </c>
      <c r="E35" s="5" t="s">
        <v>5</v>
      </c>
      <c r="F35" s="6"/>
      <c r="G35" s="100">
        <v>43014</v>
      </c>
      <c r="H35" s="9">
        <v>50</v>
      </c>
      <c r="I35" s="8">
        <v>760</v>
      </c>
      <c r="J35" s="8">
        <v>38000</v>
      </c>
      <c r="K35" s="94">
        <v>43014</v>
      </c>
      <c r="L35" s="92"/>
    </row>
    <row r="36" spans="1:13" ht="18" x14ac:dyDescent="0.35">
      <c r="A36" s="531" t="s">
        <v>91</v>
      </c>
      <c r="B36" s="532"/>
      <c r="C36" s="13"/>
      <c r="D36" s="72"/>
      <c r="E36" s="13"/>
      <c r="F36" s="13"/>
      <c r="G36" s="13"/>
      <c r="H36" s="13"/>
      <c r="I36" s="13"/>
      <c r="J36" s="13"/>
      <c r="K36" s="14"/>
    </row>
    <row r="37" spans="1:13" x14ac:dyDescent="0.3">
      <c r="A37" s="49"/>
      <c r="B37" s="17" t="s">
        <v>76</v>
      </c>
      <c r="C37" s="37" t="s">
        <v>338</v>
      </c>
      <c r="D37" s="73"/>
      <c r="E37" s="37"/>
      <c r="F37" s="37"/>
      <c r="G37" s="37"/>
      <c r="H37" s="18"/>
      <c r="I37" s="18"/>
      <c r="J37" s="18"/>
      <c r="K37" s="19"/>
      <c r="M37" s="59" t="str">
        <f>+UPPER(H37)</f>
        <v/>
      </c>
    </row>
    <row r="38" spans="1:13" x14ac:dyDescent="0.3">
      <c r="A38" s="49"/>
      <c r="B38" s="17" t="s">
        <v>78</v>
      </c>
      <c r="C38" s="37" t="s">
        <v>339</v>
      </c>
      <c r="D38" s="73"/>
      <c r="E38" s="37"/>
      <c r="F38" s="37"/>
      <c r="G38" s="37"/>
      <c r="H38" s="37"/>
      <c r="I38" s="18"/>
      <c r="J38" s="18"/>
      <c r="K38" s="19"/>
    </row>
    <row r="39" spans="1:13" x14ac:dyDescent="0.3">
      <c r="A39" s="49"/>
      <c r="B39" s="17" t="s">
        <v>81</v>
      </c>
      <c r="C39" s="44" t="s">
        <v>340</v>
      </c>
      <c r="D39" s="73"/>
      <c r="E39" s="37"/>
      <c r="F39" s="37"/>
      <c r="G39" s="37"/>
      <c r="H39" s="18"/>
      <c r="I39" s="18"/>
      <c r="J39" s="18"/>
      <c r="K39" s="19"/>
    </row>
    <row r="40" spans="1:13" x14ac:dyDescent="0.3">
      <c r="A40" s="49"/>
      <c r="B40" s="17" t="s">
        <v>98</v>
      </c>
      <c r="C40" s="44" t="s">
        <v>341</v>
      </c>
      <c r="D40" s="73"/>
      <c r="E40" s="37"/>
      <c r="F40" s="37"/>
      <c r="G40" s="37"/>
      <c r="H40" s="18"/>
      <c r="I40" s="18"/>
      <c r="J40" s="18"/>
      <c r="K40" s="19"/>
    </row>
    <row r="41" spans="1:13" x14ac:dyDescent="0.3">
      <c r="A41" s="49"/>
      <c r="B41" s="17" t="s">
        <v>83</v>
      </c>
      <c r="C41" s="44" t="s">
        <v>342</v>
      </c>
      <c r="D41" s="73"/>
      <c r="E41" s="37"/>
      <c r="F41" s="37"/>
      <c r="G41" s="37"/>
      <c r="H41" s="18"/>
      <c r="I41" s="18"/>
      <c r="J41" s="18"/>
      <c r="K41" s="19"/>
    </row>
    <row r="42" spans="1:13" x14ac:dyDescent="0.3">
      <c r="A42" s="49"/>
      <c r="B42" s="17" t="s">
        <v>85</v>
      </c>
      <c r="C42" s="44" t="s">
        <v>344</v>
      </c>
      <c r="D42" s="73"/>
      <c r="E42" s="37"/>
      <c r="F42" s="37"/>
      <c r="G42" s="37"/>
      <c r="H42" s="18"/>
      <c r="I42" s="18"/>
      <c r="J42" s="18"/>
      <c r="K42" s="19"/>
    </row>
    <row r="43" spans="1:13" x14ac:dyDescent="0.3">
      <c r="A43" s="50"/>
      <c r="B43" s="21"/>
      <c r="C43" s="21"/>
      <c r="D43" s="74"/>
      <c r="E43" s="21"/>
      <c r="F43" s="21"/>
      <c r="G43" s="21"/>
      <c r="H43" s="22"/>
      <c r="I43" s="22"/>
      <c r="J43" s="22"/>
      <c r="K43" s="23"/>
    </row>
  </sheetData>
  <mergeCells count="5">
    <mergeCell ref="A36:B36"/>
    <mergeCell ref="L1:P1"/>
    <mergeCell ref="A4:B4"/>
    <mergeCell ref="A15:B15"/>
    <mergeCell ref="A26:B26"/>
  </mergeCells>
  <conditionalFormatting sqref="G3">
    <cfRule type="cellIs" dxfId="1821" priority="6" operator="between">
      <formula>TODAY()</formula>
      <formula>TODAY()+10</formula>
    </cfRule>
  </conditionalFormatting>
  <conditionalFormatting sqref="G3">
    <cfRule type="cellIs" dxfId="1820" priority="5" operator="between">
      <formula>TODAY()</formula>
      <formula>TODAY()+10</formula>
    </cfRule>
  </conditionalFormatting>
  <conditionalFormatting sqref="G25">
    <cfRule type="cellIs" dxfId="1819" priority="3" operator="between">
      <formula>TODAY()</formula>
      <formula>TODAY()+10</formula>
    </cfRule>
  </conditionalFormatting>
  <conditionalFormatting sqref="G13:G14">
    <cfRule type="cellIs" dxfId="1818" priority="4" operator="between">
      <formula>TODAY()</formula>
      <formula>TODAY()+10</formula>
    </cfRule>
  </conditionalFormatting>
  <conditionalFormatting sqref="G35">
    <cfRule type="cellIs" dxfId="1817" priority="1" operator="between">
      <formula>TODAY()</formula>
      <formula>TODAY()+10</formula>
    </cfRule>
  </conditionalFormatting>
  <dataValidations count="4">
    <dataValidation type="list" allowBlank="1" showInputMessage="1" showErrorMessage="1" sqref="F3 F25">
      <formula1>PLAZOdePAGO2</formula1>
    </dataValidation>
    <dataValidation type="list" allowBlank="1" showInputMessage="1" showErrorMessage="1" sqref="C3 C13:C14">
      <formula1>PROVEEDORES</formula1>
    </dataValidation>
    <dataValidation type="list" allowBlank="1" showInputMessage="1" showErrorMessage="1" sqref="B3 B13:B14">
      <formula1>MATERIALES</formula1>
    </dataValidation>
    <dataValidation type="list" allowBlank="1" showInputMessage="1" showErrorMessage="1" sqref="E3 E25 E35">
      <formula1>PLAZOdePAGO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workbookViewId="0">
      <selection activeCell="A26" sqref="A26:XFD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customHeight="1" x14ac:dyDescent="0.25">
      <c r="A3" s="66" t="s">
        <v>70</v>
      </c>
      <c r="B3" s="1" t="s">
        <v>12</v>
      </c>
      <c r="C3" s="98" t="s">
        <v>244</v>
      </c>
      <c r="D3" s="75">
        <v>293953</v>
      </c>
      <c r="E3" s="5" t="s">
        <v>5</v>
      </c>
      <c r="F3" s="6"/>
      <c r="G3" s="7">
        <v>43020</v>
      </c>
      <c r="H3" s="9">
        <v>300</v>
      </c>
      <c r="I3" s="8">
        <v>115</v>
      </c>
      <c r="J3" s="8">
        <v>34500</v>
      </c>
      <c r="K3" s="97">
        <v>42985</v>
      </c>
    </row>
    <row r="4" spans="1:16" ht="18.75" x14ac:dyDescent="0.3">
      <c r="A4" s="531" t="s">
        <v>91</v>
      </c>
      <c r="B4" s="532"/>
      <c r="C4" s="13"/>
      <c r="D4" s="72"/>
      <c r="E4" s="18"/>
      <c r="F4" s="18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296</v>
      </c>
      <c r="D5" s="17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 t="s">
        <v>382</v>
      </c>
      <c r="D6" s="17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98</v>
      </c>
      <c r="C7" s="44" t="s">
        <v>294</v>
      </c>
      <c r="D7" s="17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83</v>
      </c>
      <c r="C8" s="44" t="s">
        <v>383</v>
      </c>
      <c r="D8" s="17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81</v>
      </c>
      <c r="C9" s="57" t="s">
        <v>298</v>
      </c>
      <c r="D9" s="17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 t="s">
        <v>297</v>
      </c>
      <c r="D10" s="17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ht="5.0999999999999996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x14ac:dyDescent="0.3">
      <c r="A13" s="66" t="s">
        <v>239</v>
      </c>
      <c r="B13" s="1" t="s">
        <v>289</v>
      </c>
      <c r="C13" s="98" t="s">
        <v>277</v>
      </c>
      <c r="D13" s="12" t="s">
        <v>384</v>
      </c>
      <c r="E13" s="5" t="s">
        <v>5</v>
      </c>
      <c r="F13" s="6"/>
      <c r="G13" s="97">
        <v>43020</v>
      </c>
      <c r="H13" s="9">
        <v>990</v>
      </c>
      <c r="I13" s="8">
        <v>367</v>
      </c>
      <c r="J13" s="8">
        <f>+I13*H13</f>
        <v>363330</v>
      </c>
      <c r="K13" s="97">
        <v>43008</v>
      </c>
    </row>
    <row r="14" spans="1:16" ht="18.75" x14ac:dyDescent="0.3">
      <c r="A14" s="539" t="s">
        <v>91</v>
      </c>
      <c r="B14" s="540"/>
      <c r="C14" s="18"/>
      <c r="D14" s="73"/>
      <c r="E14" s="18"/>
      <c r="F14" s="18"/>
      <c r="G14" s="18"/>
      <c r="H14" s="18"/>
      <c r="I14" s="18"/>
      <c r="J14" s="18"/>
      <c r="K14" s="19"/>
    </row>
    <row r="15" spans="1:16" x14ac:dyDescent="0.3">
      <c r="A15" s="49"/>
      <c r="B15" s="17" t="s">
        <v>76</v>
      </c>
      <c r="C15" s="37" t="s">
        <v>375</v>
      </c>
      <c r="D15" s="17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17" t="s">
        <v>83</v>
      </c>
      <c r="C16" s="37" t="s">
        <v>376</v>
      </c>
      <c r="D16" s="17"/>
      <c r="E16" s="37"/>
      <c r="F16" s="37"/>
      <c r="G16" s="37"/>
      <c r="H16" s="37"/>
      <c r="I16" s="18"/>
      <c r="J16" s="18"/>
      <c r="K16" s="19"/>
    </row>
    <row r="17" spans="1:11" x14ac:dyDescent="0.3">
      <c r="A17" s="49"/>
      <c r="B17" s="17" t="s">
        <v>81</v>
      </c>
      <c r="C17" s="17">
        <v>17450117</v>
      </c>
      <c r="D17" s="17"/>
      <c r="E17" s="37"/>
      <c r="F17" s="37"/>
      <c r="G17" s="37"/>
      <c r="H17" s="18"/>
      <c r="I17" s="18"/>
      <c r="J17" s="18"/>
      <c r="K17" s="19"/>
    </row>
    <row r="18" spans="1:11" x14ac:dyDescent="0.3">
      <c r="A18" s="49"/>
      <c r="B18" s="17" t="s">
        <v>98</v>
      </c>
      <c r="C18" s="44" t="s">
        <v>315</v>
      </c>
      <c r="D18" s="17"/>
      <c r="E18" s="37"/>
      <c r="F18" s="37"/>
      <c r="G18" s="37"/>
      <c r="H18" s="18"/>
      <c r="I18" s="18"/>
      <c r="J18" s="18"/>
      <c r="K18" s="19"/>
    </row>
    <row r="19" spans="1:11" ht="15" x14ac:dyDescent="0.25">
      <c r="A19" s="49"/>
      <c r="B19" s="17" t="s">
        <v>377</v>
      </c>
      <c r="C19" s="45">
        <v>89147</v>
      </c>
      <c r="D19" s="17"/>
      <c r="E19" s="37"/>
      <c r="F19" s="37"/>
      <c r="G19" s="37"/>
      <c r="H19" s="18"/>
      <c r="I19" s="18"/>
      <c r="J19" s="18"/>
      <c r="K19" s="19"/>
    </row>
    <row r="20" spans="1:11" x14ac:dyDescent="0.3">
      <c r="A20" s="49"/>
      <c r="B20" s="17" t="s">
        <v>84</v>
      </c>
      <c r="C20" s="44" t="s">
        <v>318</v>
      </c>
      <c r="D20" s="17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17" t="s">
        <v>85</v>
      </c>
      <c r="C21" s="44" t="s">
        <v>319</v>
      </c>
      <c r="D21" s="17"/>
      <c r="E21" s="37"/>
      <c r="F21" s="37"/>
      <c r="G21" s="37"/>
      <c r="H21" s="18"/>
      <c r="I21" s="18"/>
      <c r="J21" s="18"/>
      <c r="K21" s="19"/>
    </row>
    <row r="22" spans="1:11" ht="15" x14ac:dyDescent="0.25">
      <c r="A22" s="50"/>
      <c r="B22" s="21"/>
      <c r="C22" s="21"/>
      <c r="D22" s="74"/>
      <c r="E22" s="21"/>
      <c r="F22" s="21"/>
      <c r="G22" s="21"/>
      <c r="H22" s="22"/>
      <c r="I22" s="22"/>
      <c r="J22" s="22"/>
      <c r="K22" s="23"/>
    </row>
    <row r="23" spans="1:11" ht="5.0999999999999996" customHeight="1" x14ac:dyDescent="0.25">
      <c r="A23" s="47"/>
      <c r="B23" s="24"/>
      <c r="C23" s="24"/>
      <c r="D23" s="71"/>
      <c r="E23" s="24"/>
      <c r="F23" s="24"/>
      <c r="G23" s="24"/>
      <c r="H23" s="24"/>
      <c r="I23" s="24"/>
      <c r="J23" s="24"/>
      <c r="K23" s="24"/>
    </row>
  </sheetData>
  <mergeCells count="3">
    <mergeCell ref="L1:P1"/>
    <mergeCell ref="A4:B4"/>
    <mergeCell ref="A14:B14"/>
  </mergeCells>
  <conditionalFormatting sqref="G3">
    <cfRule type="cellIs" dxfId="1816" priority="7" operator="between">
      <formula>TODAY()</formula>
      <formula>TODAY()+10</formula>
    </cfRule>
  </conditionalFormatting>
  <conditionalFormatting sqref="G3">
    <cfRule type="cellIs" dxfId="1815" priority="6" operator="between">
      <formula>TODAY()</formula>
      <formula>TODAY()+10</formula>
    </cfRule>
  </conditionalFormatting>
  <conditionalFormatting sqref="G13">
    <cfRule type="cellIs" dxfId="1814" priority="5" operator="between">
      <formula>TODAY()</formula>
      <formula>TODAY()+10</formula>
    </cfRule>
  </conditionalFormatting>
  <dataValidations count="4">
    <dataValidation type="list" allowBlank="1" showInputMessage="1" showErrorMessage="1" sqref="E3">
      <formula1>PLAZOdePAGO</formula1>
    </dataValidation>
    <dataValidation type="list" allowBlank="1" showInputMessage="1" showErrorMessage="1" sqref="B3 B13">
      <formula1>MATERIALES</formula1>
    </dataValidation>
    <dataValidation type="list" allowBlank="1" showInputMessage="1" showErrorMessage="1" sqref="C3 C13">
      <formula1>PROVEEDORES</formula1>
    </dataValidation>
    <dataValidation type="list" allowBlank="1" showInputMessage="1" showErrorMessage="1" sqref="F3">
      <formula1>PLAZOdePAGO2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GridLines="0" workbookViewId="0">
      <selection activeCell="A26" sqref="A26:XFD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</sheetData>
  <mergeCells count="1">
    <mergeCell ref="L1:P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A26" sqref="A26:XFD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66" t="s">
        <v>274</v>
      </c>
      <c r="B3" s="1" t="s">
        <v>14</v>
      </c>
      <c r="C3" s="102" t="s">
        <v>15</v>
      </c>
      <c r="D3" s="12" t="s">
        <v>402</v>
      </c>
      <c r="E3" s="5" t="s">
        <v>5</v>
      </c>
      <c r="F3" s="6"/>
      <c r="G3" s="101">
        <v>43035</v>
      </c>
      <c r="H3" s="9">
        <v>179.55</v>
      </c>
      <c r="I3" s="8">
        <v>810</v>
      </c>
      <c r="J3" s="8">
        <v>145435.5</v>
      </c>
      <c r="K3" s="101">
        <v>43028</v>
      </c>
      <c r="L3" s="92" t="s">
        <v>256</v>
      </c>
    </row>
    <row r="4" spans="1:16" x14ac:dyDescent="0.3">
      <c r="A4" s="66" t="s">
        <v>275</v>
      </c>
      <c r="B4" s="1" t="s">
        <v>14</v>
      </c>
      <c r="C4" s="102" t="s">
        <v>15</v>
      </c>
      <c r="D4" s="12" t="s">
        <v>401</v>
      </c>
      <c r="E4" s="5" t="s">
        <v>5</v>
      </c>
      <c r="F4" s="6"/>
      <c r="G4" s="101">
        <v>43035</v>
      </c>
      <c r="H4" s="9">
        <v>230.85</v>
      </c>
      <c r="I4" s="8">
        <v>820</v>
      </c>
      <c r="J4" s="8">
        <v>189297</v>
      </c>
      <c r="K4" s="101">
        <v>43028</v>
      </c>
      <c r="L4" s="92" t="s">
        <v>256</v>
      </c>
    </row>
    <row r="5" spans="1:16" x14ac:dyDescent="0.3">
      <c r="A5" s="66" t="s">
        <v>272</v>
      </c>
      <c r="B5" s="1" t="s">
        <v>14</v>
      </c>
      <c r="C5" s="102" t="s">
        <v>15</v>
      </c>
      <c r="D5" s="12" t="s">
        <v>386</v>
      </c>
      <c r="E5" s="5" t="s">
        <v>5</v>
      </c>
      <c r="F5" s="6"/>
      <c r="G5" s="101">
        <v>43032</v>
      </c>
      <c r="H5" s="9">
        <v>307.8</v>
      </c>
      <c r="I5" s="8">
        <v>810</v>
      </c>
      <c r="J5" s="8">
        <f>+H5*I5</f>
        <v>249318</v>
      </c>
      <c r="K5" s="101">
        <v>43014</v>
      </c>
      <c r="L5" s="92" t="s">
        <v>256</v>
      </c>
    </row>
    <row r="6" spans="1:16" x14ac:dyDescent="0.3">
      <c r="A6" s="66" t="s">
        <v>273</v>
      </c>
      <c r="B6" s="1" t="s">
        <v>14</v>
      </c>
      <c r="C6" s="102" t="s">
        <v>15</v>
      </c>
      <c r="D6" s="12" t="s">
        <v>385</v>
      </c>
      <c r="E6" s="5" t="s">
        <v>5</v>
      </c>
      <c r="F6" s="6"/>
      <c r="G6" s="101">
        <v>43032</v>
      </c>
      <c r="H6" s="9">
        <v>307.8</v>
      </c>
      <c r="I6" s="8">
        <v>820</v>
      </c>
      <c r="J6" s="8">
        <f>+H6*I6</f>
        <v>252396</v>
      </c>
      <c r="K6" s="101">
        <v>43014</v>
      </c>
      <c r="L6" s="92" t="s">
        <v>256</v>
      </c>
    </row>
    <row r="7" spans="1:16" ht="18.75" x14ac:dyDescent="0.3">
      <c r="A7" s="531" t="s">
        <v>91</v>
      </c>
      <c r="B7" s="532"/>
      <c r="C7" s="13"/>
      <c r="D7" s="72"/>
      <c r="E7" s="13"/>
      <c r="F7" s="13"/>
      <c r="G7" s="13"/>
      <c r="H7" s="13"/>
      <c r="I7" s="13"/>
      <c r="J7" s="13"/>
      <c r="K7" s="14"/>
    </row>
    <row r="8" spans="1:16" x14ac:dyDescent="0.3">
      <c r="A8" s="49"/>
      <c r="B8" s="17" t="s">
        <v>76</v>
      </c>
      <c r="C8" s="37" t="s">
        <v>15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78</v>
      </c>
      <c r="C9" s="37" t="s">
        <v>227</v>
      </c>
      <c r="D9" s="73"/>
      <c r="E9" s="37"/>
      <c r="F9" s="37"/>
      <c r="G9" s="37"/>
      <c r="H9" s="18"/>
      <c r="I9" s="59"/>
      <c r="J9" s="18"/>
      <c r="K9" s="19"/>
    </row>
    <row r="10" spans="1:16" x14ac:dyDescent="0.3">
      <c r="A10" s="49"/>
      <c r="B10" s="56" t="s">
        <v>98</v>
      </c>
      <c r="C10" s="45" t="s">
        <v>387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78</v>
      </c>
      <c r="C11" s="17" t="s">
        <v>388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81</v>
      </c>
      <c r="C12" s="45" t="s">
        <v>389</v>
      </c>
      <c r="D12" s="73"/>
      <c r="E12" s="37"/>
      <c r="F12" s="37"/>
      <c r="G12" s="37"/>
      <c r="H12" s="18"/>
      <c r="I12" s="18"/>
      <c r="J12" s="18"/>
      <c r="K12" s="19"/>
    </row>
    <row r="13" spans="1:16" ht="15" x14ac:dyDescent="0.25">
      <c r="A13" s="49"/>
      <c r="B13" s="17" t="s">
        <v>169</v>
      </c>
      <c r="C13" s="45" t="s">
        <v>390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45" t="s">
        <v>391</v>
      </c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21"/>
      <c r="D15" s="74"/>
      <c r="E15" s="21"/>
      <c r="F15" s="21"/>
      <c r="G15" s="21"/>
      <c r="H15" s="22"/>
      <c r="I15" s="22"/>
      <c r="J15" s="22"/>
      <c r="K15" s="23"/>
    </row>
    <row r="16" spans="1:16" ht="5.0999999999999996" customHeight="1" x14ac:dyDescent="0.25">
      <c r="A16" s="47"/>
      <c r="B16" s="24"/>
      <c r="C16" s="24"/>
      <c r="D16" s="71"/>
      <c r="E16" s="24"/>
      <c r="F16" s="24"/>
      <c r="G16" s="24"/>
      <c r="H16" s="24"/>
      <c r="I16" s="24"/>
      <c r="J16" s="24"/>
      <c r="K16" s="24"/>
    </row>
    <row r="17" spans="1:12" ht="15" x14ac:dyDescent="0.25">
      <c r="A17" s="66" t="s">
        <v>399</v>
      </c>
      <c r="B17" s="1" t="s">
        <v>310</v>
      </c>
      <c r="C17" s="102" t="s">
        <v>311</v>
      </c>
      <c r="D17" s="12" t="s">
        <v>400</v>
      </c>
      <c r="E17" s="5" t="s">
        <v>5</v>
      </c>
      <c r="F17" s="6"/>
      <c r="G17" s="101">
        <v>43032</v>
      </c>
      <c r="H17" s="9">
        <v>150</v>
      </c>
      <c r="I17" s="8">
        <v>760</v>
      </c>
      <c r="J17" s="8">
        <f>+H17*I17</f>
        <v>114000</v>
      </c>
      <c r="K17" s="101">
        <v>43028</v>
      </c>
      <c r="L17" s="92" t="s">
        <v>256</v>
      </c>
    </row>
    <row r="18" spans="1:12" ht="18.75" x14ac:dyDescent="0.3">
      <c r="A18" s="531" t="s">
        <v>91</v>
      </c>
      <c r="B18" s="532"/>
      <c r="C18" s="13"/>
      <c r="D18" s="72"/>
      <c r="E18" s="13"/>
      <c r="F18" s="13"/>
      <c r="G18" s="13"/>
      <c r="H18" s="13"/>
      <c r="I18" s="13"/>
      <c r="J18" s="13"/>
      <c r="K18" s="14"/>
    </row>
    <row r="19" spans="1:12" x14ac:dyDescent="0.3">
      <c r="A19" s="49"/>
      <c r="B19" s="17" t="s">
        <v>76</v>
      </c>
      <c r="C19" s="37" t="s">
        <v>338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78</v>
      </c>
      <c r="C20" s="37" t="s">
        <v>339</v>
      </c>
      <c r="D20" s="73"/>
      <c r="E20" s="37"/>
      <c r="F20" s="37"/>
      <c r="G20" s="37"/>
      <c r="H20" s="18"/>
      <c r="I20" s="59"/>
      <c r="J20" s="18"/>
      <c r="K20" s="19"/>
    </row>
    <row r="21" spans="1:12" x14ac:dyDescent="0.3">
      <c r="A21" s="49"/>
      <c r="B21" s="17" t="s">
        <v>81</v>
      </c>
      <c r="C21" s="44" t="s">
        <v>340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98</v>
      </c>
      <c r="C22" s="44" t="s">
        <v>341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83</v>
      </c>
      <c r="C23" s="44" t="s">
        <v>342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85</v>
      </c>
      <c r="C24" s="44" t="s">
        <v>344</v>
      </c>
      <c r="D24" s="73"/>
      <c r="E24" s="37"/>
      <c r="F24" s="37"/>
      <c r="G24" s="37"/>
      <c r="H24" s="18"/>
      <c r="I24" s="18"/>
      <c r="J24" s="18"/>
      <c r="K24" s="19"/>
    </row>
    <row r="25" spans="1:12" ht="15" x14ac:dyDescent="0.25">
      <c r="A25" s="50"/>
      <c r="B25" s="21"/>
      <c r="C25" s="21"/>
      <c r="D25" s="74"/>
      <c r="E25" s="21"/>
      <c r="F25" s="21"/>
      <c r="G25" s="21"/>
      <c r="H25" s="22"/>
      <c r="I25" s="22"/>
      <c r="J25" s="22"/>
      <c r="K25" s="23"/>
    </row>
  </sheetData>
  <mergeCells count="3">
    <mergeCell ref="L1:P1"/>
    <mergeCell ref="A7:B7"/>
    <mergeCell ref="A18:B18"/>
  </mergeCells>
  <conditionalFormatting sqref="G3:G6">
    <cfRule type="cellIs" dxfId="1813" priority="22" operator="between">
      <formula>TODAY()</formula>
      <formula>TODAY()+10</formula>
    </cfRule>
  </conditionalFormatting>
  <conditionalFormatting sqref="G17">
    <cfRule type="cellIs" dxfId="1812" priority="1" operator="between">
      <formula>TODAY()</formula>
      <formula>TODAY()+10</formula>
    </cfRule>
  </conditionalFormatting>
  <dataValidations count="2">
    <dataValidation type="list" allowBlank="1" showInputMessage="1" showErrorMessage="1" sqref="F3:F6">
      <formula1>PLAZOdePAGO2</formula1>
    </dataValidation>
    <dataValidation type="list" allowBlank="1" showInputMessage="1" showErrorMessage="1" sqref="E3:E6">
      <formula1>PLAZOdePAGO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A26" sqref="A26:XFD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136</v>
      </c>
      <c r="B3" s="1" t="s">
        <v>10</v>
      </c>
      <c r="C3" s="104" t="s">
        <v>7</v>
      </c>
      <c r="D3" s="7" t="s">
        <v>407</v>
      </c>
      <c r="E3" s="5" t="s">
        <v>5</v>
      </c>
      <c r="F3" s="6"/>
      <c r="G3" s="7">
        <v>43041</v>
      </c>
      <c r="H3" s="9">
        <v>180</v>
      </c>
      <c r="I3" s="8">
        <v>255</v>
      </c>
      <c r="J3" s="55">
        <f>+H3*I3</f>
        <v>45900</v>
      </c>
      <c r="K3" s="103">
        <v>43034</v>
      </c>
      <c r="L3" s="10" t="s">
        <v>406</v>
      </c>
    </row>
    <row r="4" spans="1:16" ht="15" x14ac:dyDescent="0.25">
      <c r="A4" s="66" t="s">
        <v>137</v>
      </c>
      <c r="B4" s="1" t="s">
        <v>10</v>
      </c>
      <c r="C4" s="104" t="s">
        <v>7</v>
      </c>
      <c r="D4" s="7" t="s">
        <v>407</v>
      </c>
      <c r="E4" s="5" t="s">
        <v>5</v>
      </c>
      <c r="F4" s="6"/>
      <c r="G4" s="7">
        <v>43041</v>
      </c>
      <c r="H4" s="9">
        <v>180</v>
      </c>
      <c r="I4" s="8">
        <v>255</v>
      </c>
      <c r="J4" s="55">
        <f>+H4*I4</f>
        <v>45900</v>
      </c>
      <c r="K4" s="103">
        <v>43034</v>
      </c>
      <c r="L4" s="10" t="s">
        <v>406</v>
      </c>
    </row>
    <row r="5" spans="1:16" ht="15" x14ac:dyDescent="0.25">
      <c r="A5" s="66" t="s">
        <v>138</v>
      </c>
      <c r="B5" s="1" t="s">
        <v>10</v>
      </c>
      <c r="C5" s="104" t="s">
        <v>7</v>
      </c>
      <c r="D5" s="7" t="s">
        <v>407</v>
      </c>
      <c r="E5" s="5" t="s">
        <v>5</v>
      </c>
      <c r="F5" s="6"/>
      <c r="G5" s="7">
        <v>43041</v>
      </c>
      <c r="H5" s="9">
        <v>180</v>
      </c>
      <c r="I5" s="8">
        <v>255</v>
      </c>
      <c r="J5" s="55">
        <f>+H5*I5</f>
        <v>45900</v>
      </c>
      <c r="K5" s="103">
        <v>43034</v>
      </c>
      <c r="L5" s="10" t="s">
        <v>406</v>
      </c>
    </row>
    <row r="6" spans="1:16" ht="15" x14ac:dyDescent="0.25">
      <c r="A6" s="66" t="s">
        <v>139</v>
      </c>
      <c r="B6" s="1" t="s">
        <v>10</v>
      </c>
      <c r="C6" s="104" t="s">
        <v>7</v>
      </c>
      <c r="D6" s="7" t="s">
        <v>408</v>
      </c>
      <c r="E6" s="5" t="s">
        <v>5</v>
      </c>
      <c r="F6" s="6"/>
      <c r="G6" s="7">
        <v>43041</v>
      </c>
      <c r="H6" s="9">
        <v>202.5</v>
      </c>
      <c r="I6" s="8">
        <v>215</v>
      </c>
      <c r="J6" s="55">
        <f>+I6*H6</f>
        <v>43537.5</v>
      </c>
      <c r="K6" s="103">
        <v>43034</v>
      </c>
      <c r="L6" s="10" t="s">
        <v>406</v>
      </c>
    </row>
    <row r="7" spans="1:16" ht="15" x14ac:dyDescent="0.25">
      <c r="A7" s="66" t="s">
        <v>271</v>
      </c>
      <c r="B7" s="1" t="s">
        <v>11</v>
      </c>
      <c r="C7" s="104" t="s">
        <v>7</v>
      </c>
      <c r="D7" s="7" t="s">
        <v>409</v>
      </c>
      <c r="E7" s="5" t="s">
        <v>5</v>
      </c>
      <c r="F7" s="6"/>
      <c r="G7" s="7">
        <v>43041</v>
      </c>
      <c r="H7" s="9">
        <v>200</v>
      </c>
      <c r="I7" s="8">
        <v>300</v>
      </c>
      <c r="J7" s="55">
        <f>+H7*I7</f>
        <v>60000</v>
      </c>
      <c r="K7" s="103">
        <v>43034</v>
      </c>
      <c r="L7" s="10" t="s">
        <v>406</v>
      </c>
    </row>
    <row r="8" spans="1:16" ht="18.75" x14ac:dyDescent="0.3">
      <c r="A8" s="531" t="s">
        <v>91</v>
      </c>
      <c r="B8" s="532"/>
      <c r="C8" s="13"/>
      <c r="D8" s="72"/>
      <c r="E8" s="13"/>
      <c r="F8" s="13"/>
      <c r="G8" s="13"/>
      <c r="H8" s="13"/>
      <c r="I8" s="13"/>
      <c r="J8" s="13"/>
      <c r="K8" s="14"/>
    </row>
    <row r="9" spans="1:16" x14ac:dyDescent="0.3">
      <c r="A9" s="49"/>
      <c r="B9" s="17" t="s">
        <v>76</v>
      </c>
      <c r="C9" s="37" t="s">
        <v>92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78</v>
      </c>
      <c r="C10" s="37" t="s">
        <v>413</v>
      </c>
      <c r="D10" s="73"/>
      <c r="E10" s="37"/>
      <c r="F10" s="37"/>
      <c r="G10" s="37"/>
      <c r="H10" s="18"/>
      <c r="I10" s="59"/>
      <c r="J10" s="18"/>
      <c r="K10" s="19"/>
    </row>
    <row r="11" spans="1:16" x14ac:dyDescent="0.3">
      <c r="A11" s="49"/>
      <c r="B11" s="56" t="s">
        <v>98</v>
      </c>
      <c r="C11" s="37" t="s">
        <v>410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81</v>
      </c>
      <c r="C12" s="37" t="s">
        <v>411</v>
      </c>
      <c r="D12" s="73"/>
      <c r="E12" s="37"/>
      <c r="F12" s="37"/>
      <c r="G12" s="37"/>
      <c r="H12" s="18"/>
      <c r="I12" s="18"/>
      <c r="J12" s="18"/>
      <c r="K12" s="19"/>
    </row>
    <row r="13" spans="1:16" ht="15" x14ac:dyDescent="0.25">
      <c r="A13" s="49"/>
      <c r="B13" s="17" t="s">
        <v>169</v>
      </c>
      <c r="C13" s="37" t="s">
        <v>412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37" t="s">
        <v>104</v>
      </c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21"/>
      <c r="D15" s="74"/>
      <c r="E15" s="21"/>
      <c r="F15" s="21"/>
      <c r="G15" s="21"/>
      <c r="H15" s="22"/>
      <c r="I15" s="22"/>
      <c r="J15" s="22"/>
      <c r="K15" s="23"/>
    </row>
    <row r="16" spans="1:16" ht="5.0999999999999996" customHeight="1" x14ac:dyDescent="0.25">
      <c r="A16" s="47"/>
      <c r="B16" s="24"/>
      <c r="C16" s="24"/>
      <c r="D16" s="71"/>
      <c r="E16" s="24"/>
      <c r="F16" s="24"/>
      <c r="G16" s="24"/>
      <c r="H16" s="24"/>
      <c r="I16" s="24"/>
      <c r="J16" s="24"/>
      <c r="K16" s="24"/>
    </row>
    <row r="17" spans="1:12" ht="15" x14ac:dyDescent="0.25">
      <c r="A17" s="66" t="s">
        <v>257</v>
      </c>
      <c r="B17" s="1" t="s">
        <v>276</v>
      </c>
      <c r="C17" s="104" t="s">
        <v>277</v>
      </c>
      <c r="D17" s="7" t="s">
        <v>403</v>
      </c>
      <c r="E17" s="5" t="s">
        <v>5</v>
      </c>
      <c r="F17" s="6"/>
      <c r="G17" s="7">
        <v>43041</v>
      </c>
      <c r="H17" s="9">
        <v>360</v>
      </c>
      <c r="I17" s="8">
        <v>257</v>
      </c>
      <c r="J17" s="55">
        <v>89950</v>
      </c>
      <c r="K17" s="103">
        <v>43037</v>
      </c>
      <c r="L17" s="10" t="s">
        <v>406</v>
      </c>
    </row>
    <row r="18" spans="1:12" ht="18.75" x14ac:dyDescent="0.3">
      <c r="A18" s="531" t="s">
        <v>91</v>
      </c>
      <c r="B18" s="532"/>
      <c r="C18" s="13"/>
      <c r="D18" s="72"/>
      <c r="E18" s="13"/>
      <c r="F18" s="13"/>
      <c r="G18" s="13"/>
      <c r="H18" s="13"/>
      <c r="I18" s="13"/>
      <c r="J18" s="13"/>
      <c r="K18" s="14"/>
    </row>
    <row r="19" spans="1:12" x14ac:dyDescent="0.3">
      <c r="A19" s="49"/>
      <c r="B19" s="17" t="s">
        <v>76</v>
      </c>
      <c r="C19" s="37" t="s">
        <v>375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78</v>
      </c>
      <c r="C20" s="37" t="s">
        <v>404</v>
      </c>
      <c r="D20" s="73"/>
      <c r="E20" s="37"/>
      <c r="F20" s="37"/>
      <c r="G20" s="37"/>
      <c r="H20" s="18"/>
      <c r="I20" s="59"/>
      <c r="J20" s="18"/>
      <c r="K20" s="19"/>
    </row>
    <row r="21" spans="1:12" x14ac:dyDescent="0.3">
      <c r="A21" s="49"/>
      <c r="B21" s="56" t="s">
        <v>98</v>
      </c>
      <c r="C21" s="45" t="s">
        <v>405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81</v>
      </c>
      <c r="C22" s="45">
        <v>17450117</v>
      </c>
      <c r="D22" s="73"/>
      <c r="E22" s="37"/>
      <c r="F22" s="37"/>
      <c r="G22" s="37"/>
      <c r="H22" s="18"/>
      <c r="I22" s="18"/>
      <c r="J22" s="18"/>
      <c r="K22" s="19"/>
    </row>
    <row r="23" spans="1:12" ht="15" x14ac:dyDescent="0.25">
      <c r="A23" s="49"/>
      <c r="B23" s="17" t="s">
        <v>169</v>
      </c>
      <c r="C23" s="45" t="s">
        <v>318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85</v>
      </c>
      <c r="C24" s="45">
        <v>89147</v>
      </c>
      <c r="D24" s="73"/>
      <c r="E24" s="37"/>
      <c r="F24" s="37"/>
      <c r="G24" s="37"/>
      <c r="H24" s="18"/>
      <c r="I24" s="18"/>
      <c r="J24" s="18"/>
      <c r="K24" s="19"/>
    </row>
    <row r="25" spans="1:12" ht="15" x14ac:dyDescent="0.25">
      <c r="A25" s="50"/>
      <c r="B25" s="21"/>
      <c r="C25" s="21"/>
      <c r="D25" s="74"/>
      <c r="E25" s="21"/>
      <c r="F25" s="21"/>
      <c r="G25" s="21"/>
      <c r="H25" s="22"/>
      <c r="I25" s="22"/>
      <c r="J25" s="22"/>
      <c r="K25" s="23"/>
    </row>
  </sheetData>
  <mergeCells count="3">
    <mergeCell ref="A8:B8"/>
    <mergeCell ref="A18:B18"/>
    <mergeCell ref="L1:P1"/>
  </mergeCells>
  <conditionalFormatting sqref="G3:G7">
    <cfRule type="cellIs" dxfId="1811" priority="10" operator="between">
      <formula>TODAY()</formula>
      <formula>TODAY()+10</formula>
    </cfRule>
  </conditionalFormatting>
  <conditionalFormatting sqref="G17">
    <cfRule type="cellIs" dxfId="1810" priority="3" operator="between">
      <formula>TODAY()</formula>
      <formula>TODAY()+10</formula>
    </cfRule>
  </conditionalFormatting>
  <dataValidations count="2">
    <dataValidation type="list" allowBlank="1" showInputMessage="1" showErrorMessage="1" sqref="E17 E7">
      <formula1>PLAZOdePAGO</formula1>
    </dataValidation>
    <dataValidation type="list" allowBlank="1" showInputMessage="1" showErrorMessage="1" sqref="F17 F7">
      <formula1>PLAZOdePAGO2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zoomScaleNormal="100" workbookViewId="0">
      <selection activeCell="A26" sqref="A26:XFD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362</v>
      </c>
      <c r="B3" s="1" t="s">
        <v>243</v>
      </c>
      <c r="C3" s="107" t="s">
        <v>46</v>
      </c>
      <c r="D3" s="7"/>
      <c r="E3" s="5" t="s">
        <v>5</v>
      </c>
      <c r="F3" s="6"/>
      <c r="G3" s="7">
        <v>43046</v>
      </c>
      <c r="H3" s="9">
        <v>4000</v>
      </c>
      <c r="I3" s="8">
        <v>303</v>
      </c>
      <c r="J3" s="55">
        <v>1212000</v>
      </c>
      <c r="K3" s="106">
        <v>43029</v>
      </c>
      <c r="L3" s="10" t="s">
        <v>406</v>
      </c>
    </row>
    <row r="4" spans="1:16" x14ac:dyDescent="0.3">
      <c r="A4" s="66" t="s">
        <v>363</v>
      </c>
      <c r="B4" s="1" t="s">
        <v>8</v>
      </c>
      <c r="C4" s="107" t="s">
        <v>46</v>
      </c>
      <c r="D4" s="7"/>
      <c r="E4" s="5" t="s">
        <v>5</v>
      </c>
      <c r="F4" s="6"/>
      <c r="G4" s="7">
        <v>43046</v>
      </c>
      <c r="H4" s="9">
        <v>4000</v>
      </c>
      <c r="I4" s="8">
        <v>385</v>
      </c>
      <c r="J4" s="55">
        <f>+H4*I4</f>
        <v>1540000</v>
      </c>
      <c r="K4" s="106">
        <v>43029</v>
      </c>
      <c r="L4" s="10" t="s">
        <v>406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 t="s">
        <v>414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37" t="s">
        <v>415</v>
      </c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45" t="s">
        <v>416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81</v>
      </c>
      <c r="C9" s="45" t="s">
        <v>417</v>
      </c>
      <c r="D9" s="73"/>
      <c r="E9" s="37"/>
      <c r="F9" s="37"/>
      <c r="G9" s="37"/>
      <c r="H9" s="18"/>
      <c r="I9" s="18"/>
      <c r="J9" s="18"/>
      <c r="K9" s="19"/>
    </row>
    <row r="10" spans="1:16" ht="15" customHeight="1" x14ac:dyDescent="0.25">
      <c r="A10" s="50"/>
      <c r="B10" s="21"/>
      <c r="C10" s="21"/>
      <c r="D10" s="74"/>
      <c r="E10" s="21"/>
      <c r="F10" s="21"/>
      <c r="G10" s="21"/>
      <c r="H10" s="22"/>
      <c r="I10" s="22"/>
      <c r="J10" s="22"/>
      <c r="K10" s="23"/>
    </row>
    <row r="11" spans="1:16" ht="5.0999999999999996" customHeight="1" x14ac:dyDescent="0.25">
      <c r="A11" s="47"/>
      <c r="B11" s="24"/>
      <c r="C11" s="24"/>
      <c r="D11" s="71"/>
      <c r="E11" s="24"/>
      <c r="F11" s="24"/>
      <c r="G11" s="24"/>
      <c r="H11" s="24"/>
      <c r="I11" s="24"/>
      <c r="J11" s="24"/>
      <c r="K11" s="24"/>
    </row>
    <row r="12" spans="1:16" x14ac:dyDescent="0.3">
      <c r="A12" s="66" t="s">
        <v>261</v>
      </c>
      <c r="B12" s="1" t="s">
        <v>281</v>
      </c>
      <c r="C12" s="107" t="s">
        <v>15</v>
      </c>
      <c r="D12" s="79">
        <v>10579</v>
      </c>
      <c r="E12" s="5" t="s">
        <v>5</v>
      </c>
      <c r="F12" s="6"/>
      <c r="G12" s="7">
        <v>43048</v>
      </c>
      <c r="H12" s="9">
        <v>110</v>
      </c>
      <c r="I12" s="8">
        <v>375</v>
      </c>
      <c r="J12" s="55">
        <f>+H12*I12</f>
        <v>41250</v>
      </c>
      <c r="K12" s="106">
        <v>43033</v>
      </c>
      <c r="L12" s="10" t="s">
        <v>406</v>
      </c>
    </row>
    <row r="13" spans="1:16" ht="18.75" x14ac:dyDescent="0.3">
      <c r="A13" s="531" t="s">
        <v>91</v>
      </c>
      <c r="B13" s="532"/>
      <c r="C13" s="13"/>
      <c r="D13" s="72"/>
      <c r="E13" s="13"/>
      <c r="F13" s="13"/>
      <c r="G13" s="13"/>
      <c r="H13" s="13"/>
      <c r="I13" s="13"/>
      <c r="J13" s="13"/>
      <c r="K13" s="14"/>
    </row>
    <row r="14" spans="1:16" x14ac:dyDescent="0.3">
      <c r="A14" s="49"/>
      <c r="B14" s="17" t="s">
        <v>76</v>
      </c>
      <c r="C14" s="37" t="s">
        <v>15</v>
      </c>
      <c r="D14" s="73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17" t="s">
        <v>78</v>
      </c>
      <c r="C15" s="37" t="s">
        <v>227</v>
      </c>
      <c r="D15" s="73"/>
      <c r="E15" s="37"/>
      <c r="F15" s="37"/>
      <c r="G15" s="37"/>
      <c r="H15" s="18"/>
      <c r="I15" s="59"/>
      <c r="J15" s="18"/>
      <c r="K15" s="19"/>
    </row>
    <row r="16" spans="1:16" x14ac:dyDescent="0.3">
      <c r="A16" s="49"/>
      <c r="B16" s="56" t="s">
        <v>98</v>
      </c>
      <c r="C16" s="45" t="s">
        <v>387</v>
      </c>
      <c r="D16" s="73"/>
      <c r="E16" s="37"/>
      <c r="F16" s="37"/>
      <c r="G16" s="37"/>
      <c r="H16" s="18"/>
      <c r="I16" s="18"/>
      <c r="J16" s="18"/>
      <c r="K16" s="19"/>
    </row>
    <row r="17" spans="1:12" x14ac:dyDescent="0.3">
      <c r="A17" s="49"/>
      <c r="B17" s="17" t="s">
        <v>78</v>
      </c>
      <c r="C17" s="17" t="s">
        <v>388</v>
      </c>
      <c r="D17" s="73"/>
      <c r="E17" s="37"/>
      <c r="F17" s="37"/>
      <c r="G17" s="37"/>
      <c r="H17" s="18"/>
      <c r="I17" s="18"/>
      <c r="J17" s="18"/>
      <c r="K17" s="19"/>
    </row>
    <row r="18" spans="1:12" ht="15" customHeight="1" x14ac:dyDescent="0.3">
      <c r="A18" s="49"/>
      <c r="B18" s="17" t="s">
        <v>81</v>
      </c>
      <c r="C18" s="45" t="s">
        <v>389</v>
      </c>
      <c r="D18" s="73"/>
      <c r="E18" s="37"/>
      <c r="F18" s="37"/>
      <c r="G18" s="37"/>
      <c r="H18" s="18"/>
      <c r="I18" s="18"/>
      <c r="J18" s="18"/>
      <c r="K18" s="19"/>
    </row>
    <row r="19" spans="1:12" ht="15" x14ac:dyDescent="0.25">
      <c r="A19" s="49"/>
      <c r="B19" s="17" t="s">
        <v>169</v>
      </c>
      <c r="C19" s="45" t="s">
        <v>390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85</v>
      </c>
      <c r="C20" s="45" t="s">
        <v>391</v>
      </c>
      <c r="D20" s="73"/>
      <c r="E20" s="37"/>
      <c r="F20" s="37"/>
      <c r="G20" s="37"/>
      <c r="H20" s="18"/>
      <c r="I20" s="18"/>
      <c r="J20" s="18"/>
      <c r="K20" s="19"/>
    </row>
    <row r="21" spans="1:12" ht="15" customHeight="1" x14ac:dyDescent="0.25">
      <c r="A21" s="50"/>
      <c r="B21" s="21"/>
      <c r="C21" s="21"/>
      <c r="D21" s="74"/>
      <c r="E21" s="21"/>
      <c r="F21" s="21"/>
      <c r="G21" s="21"/>
      <c r="H21" s="22"/>
      <c r="I21" s="22"/>
      <c r="J21" s="22"/>
      <c r="K21" s="23"/>
    </row>
    <row r="22" spans="1:12" ht="5.0999999999999996" customHeight="1" x14ac:dyDescent="0.25">
      <c r="A22" s="47"/>
      <c r="B22" s="24"/>
      <c r="C22" s="24"/>
      <c r="D22" s="71"/>
      <c r="E22" s="24"/>
      <c r="F22" s="24"/>
      <c r="G22" s="24"/>
      <c r="H22" s="24"/>
      <c r="I22" s="24"/>
      <c r="J22" s="24"/>
      <c r="K22" s="24"/>
    </row>
    <row r="23" spans="1:12" ht="15" x14ac:dyDescent="0.25">
      <c r="A23" s="66" t="s">
        <v>352</v>
      </c>
      <c r="B23" s="1" t="s">
        <v>359</v>
      </c>
      <c r="C23" s="107" t="s">
        <v>7</v>
      </c>
      <c r="D23" s="7" t="s">
        <v>423</v>
      </c>
      <c r="E23" s="5" t="s">
        <v>5</v>
      </c>
      <c r="F23" s="6"/>
      <c r="G23" s="7">
        <v>43048</v>
      </c>
      <c r="H23" s="9">
        <v>75</v>
      </c>
      <c r="I23" s="8">
        <v>830</v>
      </c>
      <c r="J23" s="55">
        <f>+H23*I23</f>
        <v>62250</v>
      </c>
      <c r="K23" s="106">
        <v>43030</v>
      </c>
      <c r="L23" s="10" t="s">
        <v>406</v>
      </c>
    </row>
    <row r="24" spans="1:12" ht="18.75" x14ac:dyDescent="0.3">
      <c r="A24" s="531" t="s">
        <v>91</v>
      </c>
      <c r="B24" s="532"/>
      <c r="C24" s="13"/>
      <c r="D24" s="72"/>
      <c r="E24" s="13"/>
      <c r="F24" s="13"/>
      <c r="G24" s="13"/>
      <c r="H24" s="13"/>
      <c r="I24" s="13"/>
      <c r="J24" s="13"/>
      <c r="K24" s="14"/>
    </row>
    <row r="25" spans="1:12" x14ac:dyDescent="0.3">
      <c r="A25" s="49"/>
      <c r="B25" s="17" t="s">
        <v>76</v>
      </c>
      <c r="C25" s="37" t="s">
        <v>92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78</v>
      </c>
      <c r="C26" s="37" t="s">
        <v>413</v>
      </c>
      <c r="D26" s="73"/>
      <c r="E26" s="37"/>
      <c r="F26" s="37"/>
      <c r="G26" s="37"/>
      <c r="H26" s="18"/>
      <c r="I26" s="59"/>
      <c r="J26" s="18"/>
      <c r="K26" s="19"/>
    </row>
    <row r="27" spans="1:12" ht="15" customHeight="1" x14ac:dyDescent="0.3">
      <c r="A27" s="49"/>
      <c r="B27" s="56" t="s">
        <v>98</v>
      </c>
      <c r="C27" s="37" t="s">
        <v>102</v>
      </c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81</v>
      </c>
      <c r="C28" s="37" t="s">
        <v>424</v>
      </c>
      <c r="D28" s="73"/>
      <c r="E28" s="37"/>
      <c r="F28" s="37"/>
      <c r="G28" s="37"/>
      <c r="H28" s="18"/>
      <c r="I28" s="18"/>
      <c r="J28" s="18"/>
      <c r="K28" s="19"/>
    </row>
    <row r="29" spans="1:12" ht="15" customHeight="1" x14ac:dyDescent="0.25">
      <c r="A29" s="49"/>
      <c r="B29" s="17" t="s">
        <v>169</v>
      </c>
      <c r="C29" s="37" t="s">
        <v>425</v>
      </c>
      <c r="D29" s="73"/>
      <c r="E29" s="37"/>
      <c r="F29" s="37"/>
      <c r="G29" s="37"/>
      <c r="H29" s="18"/>
      <c r="I29" s="18"/>
      <c r="J29" s="18"/>
      <c r="K29" s="19"/>
    </row>
    <row r="30" spans="1:12" x14ac:dyDescent="0.3">
      <c r="A30" s="49"/>
      <c r="B30" s="17" t="s">
        <v>85</v>
      </c>
      <c r="C30" s="37" t="s">
        <v>108</v>
      </c>
      <c r="D30" s="73"/>
      <c r="E30" s="37"/>
      <c r="F30" s="37"/>
      <c r="G30" s="37"/>
      <c r="H30" s="18"/>
      <c r="I30" s="18"/>
      <c r="J30" s="18"/>
      <c r="K30" s="19"/>
    </row>
    <row r="31" spans="1:12" ht="15" customHeight="1" x14ac:dyDescent="0.25">
      <c r="A31" s="50"/>
      <c r="B31" s="21"/>
      <c r="C31" s="21"/>
      <c r="D31" s="74"/>
      <c r="E31" s="21"/>
      <c r="F31" s="21"/>
      <c r="G31" s="21"/>
      <c r="H31" s="22"/>
      <c r="I31" s="22"/>
      <c r="J31" s="22"/>
      <c r="K31" s="23"/>
    </row>
    <row r="32" spans="1:12" ht="5.0999999999999996" customHeight="1" x14ac:dyDescent="0.25">
      <c r="A32" s="47"/>
      <c r="B32" s="24"/>
      <c r="C32" s="24"/>
      <c r="D32" s="71"/>
      <c r="E32" s="24"/>
      <c r="F32" s="24"/>
      <c r="G32" s="24"/>
      <c r="H32" s="24"/>
      <c r="I32" s="24"/>
      <c r="J32" s="24"/>
      <c r="K32" s="24"/>
    </row>
    <row r="33" spans="1:12" x14ac:dyDescent="0.3">
      <c r="A33" s="66" t="s">
        <v>258</v>
      </c>
      <c r="B33" s="1" t="s">
        <v>276</v>
      </c>
      <c r="C33" s="107" t="s">
        <v>277</v>
      </c>
      <c r="D33" s="7" t="s">
        <v>418</v>
      </c>
      <c r="E33" s="5" t="s">
        <v>5</v>
      </c>
      <c r="F33" s="6"/>
      <c r="G33" s="7">
        <v>43048</v>
      </c>
      <c r="H33" s="9">
        <v>145</v>
      </c>
      <c r="I33" s="8">
        <v>257</v>
      </c>
      <c r="J33" s="55">
        <f>+H33*I33</f>
        <v>37265</v>
      </c>
      <c r="K33" s="106">
        <v>43037</v>
      </c>
      <c r="L33" s="10" t="s">
        <v>406</v>
      </c>
    </row>
    <row r="34" spans="1:12" ht="18" x14ac:dyDescent="0.35">
      <c r="A34" s="531" t="s">
        <v>91</v>
      </c>
      <c r="B34" s="532"/>
      <c r="C34" s="13"/>
      <c r="D34" s="72"/>
      <c r="E34" s="13"/>
      <c r="F34" s="13"/>
      <c r="G34" s="13"/>
      <c r="H34" s="13"/>
      <c r="I34" s="13"/>
      <c r="J34" s="13"/>
      <c r="K34" s="14"/>
    </row>
    <row r="35" spans="1:12" x14ac:dyDescent="0.3">
      <c r="A35" s="49"/>
      <c r="B35" s="17" t="s">
        <v>76</v>
      </c>
      <c r="C35" s="37" t="s">
        <v>316</v>
      </c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78</v>
      </c>
      <c r="C36" s="37" t="s">
        <v>317</v>
      </c>
      <c r="D36" s="73"/>
      <c r="E36" s="37"/>
      <c r="F36" s="37"/>
      <c r="G36" s="37"/>
      <c r="H36" s="18"/>
      <c r="I36" s="59"/>
      <c r="J36" s="18"/>
      <c r="K36" s="19"/>
    </row>
    <row r="37" spans="1:12" x14ac:dyDescent="0.3">
      <c r="A37" s="49"/>
      <c r="B37" s="56" t="s">
        <v>98</v>
      </c>
      <c r="C37" s="37" t="s">
        <v>315</v>
      </c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81</v>
      </c>
      <c r="C38" s="17">
        <v>17450117</v>
      </c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169</v>
      </c>
      <c r="C39" s="17" t="s">
        <v>318</v>
      </c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17" t="s">
        <v>85</v>
      </c>
      <c r="C40" s="44" t="s">
        <v>319</v>
      </c>
      <c r="D40" s="73"/>
      <c r="E40" s="37"/>
      <c r="F40" s="37"/>
      <c r="G40" s="37"/>
      <c r="H40" s="18"/>
      <c r="I40" s="18"/>
      <c r="J40" s="18"/>
      <c r="K40" s="19"/>
    </row>
    <row r="41" spans="1:12" ht="15" customHeight="1" x14ac:dyDescent="0.3">
      <c r="A41" s="50"/>
      <c r="B41" s="21"/>
      <c r="C41" s="21"/>
      <c r="D41" s="74"/>
      <c r="E41" s="21"/>
      <c r="F41" s="21"/>
      <c r="G41" s="21"/>
      <c r="H41" s="22"/>
      <c r="I41" s="22"/>
      <c r="J41" s="22"/>
      <c r="K41" s="23"/>
    </row>
    <row r="42" spans="1:12" ht="5.0999999999999996" customHeight="1" x14ac:dyDescent="0.3">
      <c r="A42" s="47"/>
      <c r="B42" s="24"/>
      <c r="C42" s="24"/>
      <c r="D42" s="71"/>
      <c r="E42" s="24"/>
      <c r="F42" s="24"/>
      <c r="G42" s="24"/>
      <c r="H42" s="24"/>
      <c r="I42" s="24"/>
      <c r="J42" s="24"/>
      <c r="K42" s="24"/>
    </row>
    <row r="43" spans="1:12" x14ac:dyDescent="0.3">
      <c r="A43" s="66" t="s">
        <v>336</v>
      </c>
      <c r="B43" s="1" t="s">
        <v>6</v>
      </c>
      <c r="C43" s="107" t="s">
        <v>17</v>
      </c>
      <c r="D43" s="79">
        <v>171000134</v>
      </c>
      <c r="E43" s="5" t="s">
        <v>5</v>
      </c>
      <c r="F43" s="6"/>
      <c r="G43" s="7">
        <v>43048</v>
      </c>
      <c r="H43" s="9">
        <v>1000</v>
      </c>
      <c r="I43" s="8">
        <v>510</v>
      </c>
      <c r="J43" s="55">
        <v>153000</v>
      </c>
      <c r="K43" s="106">
        <v>43033</v>
      </c>
      <c r="L43" s="10" t="s">
        <v>406</v>
      </c>
    </row>
    <row r="44" spans="1:12" ht="18" x14ac:dyDescent="0.35">
      <c r="A44" s="531" t="s">
        <v>91</v>
      </c>
      <c r="B44" s="532"/>
      <c r="C44" s="13"/>
      <c r="D44" s="72"/>
      <c r="E44" s="13"/>
      <c r="F44" s="13"/>
      <c r="G44" s="13"/>
      <c r="H44" s="13"/>
      <c r="I44" s="13"/>
      <c r="J44" s="13"/>
      <c r="K44" s="14"/>
    </row>
    <row r="45" spans="1:12" x14ac:dyDescent="0.3">
      <c r="A45" s="49"/>
      <c r="B45" s="17" t="s">
        <v>76</v>
      </c>
      <c r="C45" s="37" t="s">
        <v>17</v>
      </c>
      <c r="D45" s="73"/>
      <c r="E45" s="37"/>
      <c r="F45" s="37"/>
      <c r="G45" s="37"/>
      <c r="H45" s="18"/>
      <c r="I45" s="18"/>
      <c r="J45" s="18"/>
      <c r="K45" s="19"/>
    </row>
    <row r="46" spans="1:12" x14ac:dyDescent="0.3">
      <c r="A46" s="49"/>
      <c r="B46" s="17" t="s">
        <v>83</v>
      </c>
      <c r="C46" s="37" t="s">
        <v>349</v>
      </c>
      <c r="D46" s="73"/>
      <c r="E46" s="37"/>
      <c r="F46" s="37"/>
      <c r="G46" s="37"/>
      <c r="H46" s="18"/>
      <c r="I46" s="59"/>
      <c r="J46" s="18"/>
      <c r="K46" s="19"/>
    </row>
    <row r="47" spans="1:12" x14ac:dyDescent="0.3">
      <c r="A47" s="49"/>
      <c r="B47" s="17" t="s">
        <v>81</v>
      </c>
      <c r="C47" s="37" t="s">
        <v>345</v>
      </c>
      <c r="D47" s="73"/>
      <c r="E47" s="37"/>
      <c r="F47" s="37"/>
      <c r="G47" s="37"/>
      <c r="H47" s="18"/>
      <c r="I47" s="18"/>
      <c r="J47" s="18"/>
      <c r="K47" s="19"/>
    </row>
    <row r="48" spans="1:12" x14ac:dyDescent="0.3">
      <c r="A48" s="49"/>
      <c r="B48" s="56" t="s">
        <v>98</v>
      </c>
      <c r="C48" s="44" t="s">
        <v>346</v>
      </c>
      <c r="D48" s="73"/>
      <c r="E48" s="37"/>
      <c r="F48" s="37"/>
      <c r="G48" s="37"/>
      <c r="H48" s="18"/>
      <c r="I48" s="18"/>
      <c r="J48" s="18"/>
      <c r="K48" s="19"/>
    </row>
    <row r="49" spans="1:11" x14ac:dyDescent="0.3">
      <c r="A49" s="49"/>
      <c r="B49" s="17" t="s">
        <v>84</v>
      </c>
      <c r="C49" s="44" t="s">
        <v>347</v>
      </c>
      <c r="D49" s="73"/>
      <c r="E49" s="37"/>
      <c r="F49" s="37"/>
      <c r="G49" s="37"/>
      <c r="H49" s="18"/>
      <c r="I49" s="18"/>
      <c r="J49" s="18"/>
      <c r="K49" s="19"/>
    </row>
    <row r="50" spans="1:11" x14ac:dyDescent="0.3">
      <c r="A50" s="49"/>
      <c r="B50" s="17" t="s">
        <v>85</v>
      </c>
      <c r="C50" s="44" t="s">
        <v>348</v>
      </c>
      <c r="D50" s="73"/>
      <c r="E50" s="37"/>
      <c r="F50" s="37"/>
      <c r="G50" s="37"/>
      <c r="H50" s="18"/>
      <c r="I50" s="18"/>
      <c r="J50" s="18"/>
      <c r="K50" s="19"/>
    </row>
    <row r="51" spans="1:11" x14ac:dyDescent="0.3">
      <c r="A51" s="50"/>
      <c r="B51" s="21"/>
      <c r="C51" s="21"/>
      <c r="D51" s="74"/>
      <c r="E51" s="21"/>
      <c r="F51" s="21"/>
      <c r="G51" s="21"/>
      <c r="H51" s="22"/>
      <c r="I51" s="22"/>
      <c r="J51" s="22"/>
      <c r="K51" s="23"/>
    </row>
  </sheetData>
  <mergeCells count="6">
    <mergeCell ref="A44:B44"/>
    <mergeCell ref="A5:B5"/>
    <mergeCell ref="L1:P1"/>
    <mergeCell ref="A34:B34"/>
    <mergeCell ref="A13:B13"/>
    <mergeCell ref="A24:B24"/>
  </mergeCells>
  <conditionalFormatting sqref="G12 G23">
    <cfRule type="cellIs" dxfId="1809" priority="18" operator="between">
      <formula>TODAY()</formula>
      <formula>TODAY()+10</formula>
    </cfRule>
  </conditionalFormatting>
  <conditionalFormatting sqref="G33">
    <cfRule type="cellIs" dxfId="1808" priority="17" operator="between">
      <formula>TODAY()</formula>
      <formula>TODAY()+10</formula>
    </cfRule>
  </conditionalFormatting>
  <conditionalFormatting sqref="G3">
    <cfRule type="cellIs" dxfId="1807" priority="7" operator="between">
      <formula>TODAY()</formula>
      <formula>TODAY()+10</formula>
    </cfRule>
  </conditionalFormatting>
  <conditionalFormatting sqref="G43">
    <cfRule type="cellIs" dxfId="1806" priority="8" operator="between">
      <formula>TODAY()</formula>
      <formula>TODAY()+10</formula>
    </cfRule>
  </conditionalFormatting>
  <conditionalFormatting sqref="G4">
    <cfRule type="cellIs" dxfId="1805" priority="5" operator="between">
      <formula>TODAY()</formula>
      <formula>TODAY()+10</formula>
    </cfRule>
  </conditionalFormatting>
  <dataValidations count="4">
    <dataValidation type="list" allowBlank="1" showInputMessage="1" showErrorMessage="1" sqref="F33 F43 F3">
      <formula1>PLAZOdePAGO2</formula1>
    </dataValidation>
    <dataValidation type="list" allowBlank="1" showInputMessage="1" showErrorMessage="1" sqref="E33 E43 E3">
      <formula1>PLAZOdePAGO</formula1>
    </dataValidation>
    <dataValidation type="list" allowBlank="1" showInputMessage="1" showErrorMessage="1" sqref="C43 C3:C4 C23">
      <formula1>PROVEEDORES</formula1>
    </dataValidation>
    <dataValidation type="list" allowBlank="1" showInputMessage="1" showErrorMessage="1" sqref="B43 B3:B4 B23">
      <formula1>MATERIALES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workbookViewId="0">
      <selection activeCell="C22" sqref="C2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1.44140625" style="10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66" t="s">
        <v>380</v>
      </c>
      <c r="B3" s="1" t="s">
        <v>381</v>
      </c>
      <c r="C3" s="107" t="s">
        <v>46</v>
      </c>
      <c r="D3" s="7"/>
      <c r="E3" s="5" t="s">
        <v>5</v>
      </c>
      <c r="F3" s="6"/>
      <c r="G3" s="7">
        <v>43053</v>
      </c>
      <c r="H3" s="9">
        <v>5000</v>
      </c>
      <c r="I3" s="8">
        <v>150</v>
      </c>
      <c r="J3" s="55">
        <v>750000</v>
      </c>
      <c r="K3" s="106">
        <v>43028</v>
      </c>
      <c r="L3" s="10" t="s">
        <v>406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426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56" t="s">
        <v>98</v>
      </c>
      <c r="C6" s="37" t="s">
        <v>427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81</v>
      </c>
      <c r="C7" s="17">
        <v>4451193999</v>
      </c>
      <c r="D7" s="73"/>
      <c r="E7" s="37"/>
      <c r="F7" s="37"/>
      <c r="G7" s="37"/>
      <c r="H7" s="18"/>
      <c r="I7" s="18"/>
      <c r="J7" s="18"/>
      <c r="K7" s="19"/>
    </row>
    <row r="8" spans="1:16" ht="15" x14ac:dyDescent="0.25">
      <c r="A8" s="49"/>
      <c r="B8" s="17" t="s">
        <v>121</v>
      </c>
      <c r="C8" s="17">
        <v>111000012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37" t="s">
        <v>199</v>
      </c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50"/>
      <c r="B10" s="21"/>
      <c r="C10" s="21"/>
      <c r="D10" s="74"/>
      <c r="E10" s="21"/>
      <c r="F10" s="21"/>
      <c r="G10" s="21"/>
      <c r="H10" s="22"/>
      <c r="I10" s="22"/>
      <c r="J10" s="22"/>
      <c r="K10" s="23"/>
    </row>
    <row r="11" spans="1:16" ht="5.0999999999999996" customHeight="1" x14ac:dyDescent="0.25">
      <c r="A11" s="47"/>
      <c r="B11" s="24"/>
      <c r="C11" s="24"/>
      <c r="D11" s="71"/>
      <c r="E11" s="24"/>
      <c r="F11" s="24"/>
      <c r="G11" s="24"/>
      <c r="H11" s="24"/>
      <c r="I11" s="24"/>
      <c r="J11" s="24"/>
      <c r="K11" s="24"/>
    </row>
    <row r="12" spans="1:16" ht="15" x14ac:dyDescent="0.25">
      <c r="A12" s="66" t="s">
        <v>321</v>
      </c>
      <c r="B12" s="1" t="s">
        <v>11</v>
      </c>
      <c r="C12" s="107" t="s">
        <v>244</v>
      </c>
      <c r="D12" s="7"/>
      <c r="E12" s="5" t="s">
        <v>5</v>
      </c>
      <c r="F12" s="6"/>
      <c r="G12" s="7">
        <v>43055</v>
      </c>
      <c r="H12" s="9">
        <v>400</v>
      </c>
      <c r="I12" s="8">
        <v>282</v>
      </c>
      <c r="J12" s="55">
        <v>112800</v>
      </c>
      <c r="K12" s="106">
        <v>43037</v>
      </c>
    </row>
    <row r="13" spans="1:16" ht="18.75" x14ac:dyDescent="0.3">
      <c r="A13" s="531" t="s">
        <v>91</v>
      </c>
      <c r="B13" s="532"/>
      <c r="C13" s="13"/>
      <c r="D13" s="72"/>
      <c r="E13" s="13"/>
      <c r="F13" s="13"/>
      <c r="G13" s="13"/>
      <c r="H13" s="13"/>
      <c r="I13" s="13"/>
      <c r="J13" s="13"/>
      <c r="K13" s="14"/>
    </row>
    <row r="14" spans="1:16" x14ac:dyDescent="0.3">
      <c r="A14" s="49"/>
      <c r="B14" s="17" t="s">
        <v>76</v>
      </c>
      <c r="C14" s="37" t="s">
        <v>296</v>
      </c>
      <c r="D14" s="73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17" t="s">
        <v>78</v>
      </c>
      <c r="C15" s="37" t="s">
        <v>419</v>
      </c>
      <c r="D15" s="73"/>
      <c r="E15" s="37"/>
      <c r="F15" s="37"/>
      <c r="G15" s="37"/>
      <c r="H15" s="18"/>
      <c r="I15" s="59"/>
      <c r="J15" s="18"/>
      <c r="K15" s="19"/>
    </row>
    <row r="16" spans="1:16" x14ac:dyDescent="0.3">
      <c r="A16" s="49"/>
      <c r="B16" s="56" t="s">
        <v>98</v>
      </c>
      <c r="C16" s="37" t="s">
        <v>420</v>
      </c>
      <c r="D16" s="73"/>
      <c r="E16" s="37"/>
      <c r="F16" s="37"/>
      <c r="G16" s="37"/>
      <c r="H16" s="18"/>
      <c r="I16" s="18"/>
      <c r="J16" s="18"/>
      <c r="K16" s="19"/>
      <c r="L16" s="108"/>
    </row>
    <row r="17" spans="1:11" x14ac:dyDescent="0.3">
      <c r="A17" s="49"/>
      <c r="B17" s="17" t="s">
        <v>78</v>
      </c>
      <c r="C17" s="37" t="s">
        <v>421</v>
      </c>
      <c r="D17" s="73"/>
      <c r="E17" s="37"/>
      <c r="F17" s="37"/>
      <c r="G17" s="37"/>
      <c r="H17" s="18"/>
      <c r="I17" s="18"/>
      <c r="J17" s="18"/>
      <c r="K17" s="19"/>
    </row>
    <row r="18" spans="1:11" x14ac:dyDescent="0.3">
      <c r="A18" s="49"/>
      <c r="B18" s="17" t="s">
        <v>81</v>
      </c>
      <c r="C18" s="37" t="s">
        <v>422</v>
      </c>
      <c r="D18" s="73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85</v>
      </c>
      <c r="C19" s="37" t="s">
        <v>297</v>
      </c>
      <c r="D19" s="73"/>
      <c r="E19" s="37"/>
      <c r="F19" s="37"/>
      <c r="G19" s="37"/>
      <c r="H19" s="18"/>
      <c r="I19" s="18"/>
      <c r="J19" s="18"/>
      <c r="K19" s="19"/>
    </row>
    <row r="20" spans="1:11" ht="15" x14ac:dyDescent="0.25">
      <c r="A20" s="50"/>
      <c r="B20" s="21"/>
      <c r="C20" s="21"/>
      <c r="D20" s="74"/>
      <c r="E20" s="21"/>
      <c r="F20" s="21"/>
      <c r="G20" s="21"/>
      <c r="H20" s="22"/>
      <c r="I20" s="22"/>
      <c r="J20" s="22"/>
      <c r="K20" s="23"/>
    </row>
  </sheetData>
  <mergeCells count="3">
    <mergeCell ref="A13:B13"/>
    <mergeCell ref="L1:P1"/>
    <mergeCell ref="A4:B4"/>
  </mergeCells>
  <conditionalFormatting sqref="G12">
    <cfRule type="cellIs" dxfId="1804" priority="6" operator="between">
      <formula>TODAY()</formula>
      <formula>TODAY()+10</formula>
    </cfRule>
  </conditionalFormatting>
  <conditionalFormatting sqref="G3">
    <cfRule type="cellIs" dxfId="1803" priority="1" operator="between">
      <formula>TODAY()</formula>
      <formula>TODAY()+10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D21" sqref="D21"/>
    </sheetView>
  </sheetViews>
  <sheetFormatPr baseColWidth="10" defaultColWidth="11.44140625" defaultRowHeight="14.4" x14ac:dyDescent="0.3"/>
  <cols>
    <col min="1" max="1" width="12.5546875" style="10" bestFit="1" customWidth="1"/>
    <col min="2" max="2" width="29.44140625" style="10" bestFit="1" customWidth="1"/>
    <col min="3" max="3" width="11.5546875" style="10" bestFit="1" customWidth="1"/>
    <col min="4" max="4" width="11.5546875" style="10" customWidth="1"/>
    <col min="5" max="5" width="4.44140625" style="10" bestFit="1" customWidth="1"/>
    <col min="6" max="6" width="6.5546875" style="10" customWidth="1"/>
    <col min="7" max="7" width="9.5546875" style="10" customWidth="1"/>
    <col min="8" max="8" width="10.44140625" style="10" customWidth="1"/>
    <col min="9" max="9" width="8.44140625" style="10" bestFit="1" customWidth="1"/>
    <col min="10" max="10" width="8.5546875" style="10" bestFit="1" customWidth="1"/>
    <col min="11" max="11" width="13.5546875" style="10" bestFit="1" customWidth="1"/>
    <col min="12" max="12" width="11.44140625" style="10"/>
    <col min="13" max="13" width="17.44140625" style="10" customWidth="1"/>
    <col min="14" max="16384" width="11.44140625" style="10"/>
  </cols>
  <sheetData>
    <row r="1" spans="1:12" ht="25.5" customHeight="1" x14ac:dyDescent="0.25">
      <c r="A1" s="36" t="s">
        <v>0</v>
      </c>
      <c r="B1" s="36" t="s">
        <v>1</v>
      </c>
      <c r="C1" s="36" t="s">
        <v>2</v>
      </c>
      <c r="D1" s="36" t="s">
        <v>111</v>
      </c>
      <c r="E1" s="36" t="s">
        <v>21</v>
      </c>
      <c r="F1" s="36" t="s">
        <v>22</v>
      </c>
      <c r="G1" s="36" t="s">
        <v>3</v>
      </c>
      <c r="H1" s="36" t="s">
        <v>19</v>
      </c>
      <c r="I1" s="36" t="s">
        <v>23</v>
      </c>
      <c r="J1" s="36" t="s">
        <v>75</v>
      </c>
      <c r="K1" s="36" t="s">
        <v>29</v>
      </c>
    </row>
    <row r="2" spans="1:12" ht="7.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2" ht="15" x14ac:dyDescent="0.25">
      <c r="A3" s="25" t="s">
        <v>52</v>
      </c>
      <c r="B3" s="1" t="s">
        <v>6</v>
      </c>
      <c r="C3" s="3" t="s">
        <v>7</v>
      </c>
      <c r="D3" s="39">
        <v>201710118.30000001</v>
      </c>
      <c r="E3" s="5" t="s">
        <v>5</v>
      </c>
      <c r="F3" s="6"/>
      <c r="G3" s="7">
        <v>42901</v>
      </c>
      <c r="H3" s="9">
        <v>475</v>
      </c>
      <c r="I3" s="8">
        <v>505</v>
      </c>
      <c r="J3" s="8">
        <v>239875</v>
      </c>
      <c r="K3" s="2" t="s">
        <v>55</v>
      </c>
      <c r="L3" s="10" t="s">
        <v>110</v>
      </c>
    </row>
    <row r="4" spans="1:12" x14ac:dyDescent="0.3">
      <c r="A4" s="26" t="s">
        <v>66</v>
      </c>
      <c r="B4" s="27" t="s">
        <v>14</v>
      </c>
      <c r="C4" s="28" t="s">
        <v>7</v>
      </c>
      <c r="D4" s="40">
        <v>20170789</v>
      </c>
      <c r="E4" s="29" t="s">
        <v>5</v>
      </c>
      <c r="F4" s="30"/>
      <c r="G4" s="31">
        <v>42901</v>
      </c>
      <c r="H4" s="32">
        <v>153.9</v>
      </c>
      <c r="I4" s="33">
        <v>914</v>
      </c>
      <c r="J4" s="33">
        <f>+I4*H4</f>
        <v>140664.6</v>
      </c>
      <c r="K4" s="34" t="s">
        <v>34</v>
      </c>
      <c r="L4" s="10" t="s">
        <v>110</v>
      </c>
    </row>
    <row r="5" spans="1:12" ht="18.75" x14ac:dyDescent="0.3">
      <c r="A5" s="531" t="s">
        <v>91</v>
      </c>
      <c r="B5" s="532"/>
      <c r="C5" s="13"/>
      <c r="D5" s="13"/>
      <c r="E5" s="13"/>
      <c r="F5" s="13"/>
      <c r="G5" s="13"/>
      <c r="H5" s="13"/>
      <c r="I5" s="13"/>
      <c r="J5" s="13"/>
      <c r="K5" s="14"/>
    </row>
    <row r="6" spans="1:12" ht="13.35" customHeight="1" x14ac:dyDescent="0.3">
      <c r="A6" s="15"/>
      <c r="B6" s="17" t="s">
        <v>76</v>
      </c>
      <c r="C6" s="37" t="s">
        <v>92</v>
      </c>
      <c r="D6" s="37"/>
      <c r="E6" s="37"/>
      <c r="F6" s="37"/>
      <c r="G6" s="37"/>
      <c r="H6" s="18"/>
      <c r="I6" s="18"/>
      <c r="J6" s="18"/>
      <c r="K6" s="19"/>
    </row>
    <row r="7" spans="1:12" ht="13.35" customHeight="1" x14ac:dyDescent="0.3">
      <c r="A7" s="15"/>
      <c r="B7" s="17" t="s">
        <v>78</v>
      </c>
      <c r="C7" s="37" t="s">
        <v>94</v>
      </c>
      <c r="D7" s="37"/>
      <c r="E7" s="37"/>
      <c r="F7" s="37"/>
      <c r="G7" s="37"/>
      <c r="H7" s="18"/>
      <c r="I7" s="18"/>
      <c r="J7" s="18"/>
      <c r="K7" s="19"/>
    </row>
    <row r="8" spans="1:12" ht="13.35" customHeight="1" x14ac:dyDescent="0.3">
      <c r="A8" s="15"/>
      <c r="B8" s="17" t="s">
        <v>81</v>
      </c>
      <c r="C8" s="37">
        <v>1071321</v>
      </c>
      <c r="D8" s="37"/>
      <c r="E8" s="37"/>
      <c r="F8" s="37"/>
      <c r="G8" s="37"/>
      <c r="H8" s="18"/>
      <c r="I8" s="18"/>
      <c r="J8" s="18"/>
      <c r="K8" s="19"/>
    </row>
    <row r="9" spans="1:12" ht="13.35" customHeight="1" x14ac:dyDescent="0.3">
      <c r="A9" s="15"/>
      <c r="B9" s="17" t="s">
        <v>98</v>
      </c>
      <c r="C9" s="37" t="s">
        <v>97</v>
      </c>
      <c r="D9" s="37"/>
      <c r="E9" s="37"/>
      <c r="F9" s="37"/>
      <c r="G9" s="37"/>
      <c r="H9" s="18"/>
      <c r="I9" s="18"/>
      <c r="J9" s="18"/>
      <c r="K9" s="19"/>
    </row>
    <row r="10" spans="1:12" ht="13.35" customHeight="1" x14ac:dyDescent="0.3">
      <c r="A10" s="15"/>
      <c r="B10" s="17" t="s">
        <v>83</v>
      </c>
      <c r="C10" s="37" t="s">
        <v>109</v>
      </c>
      <c r="D10" s="37"/>
      <c r="E10" s="37"/>
      <c r="F10" s="37"/>
      <c r="G10" s="37"/>
      <c r="H10" s="18"/>
      <c r="I10" s="18"/>
      <c r="J10" s="18"/>
      <c r="K10" s="19"/>
    </row>
    <row r="11" spans="1:12" ht="13.35" customHeight="1" x14ac:dyDescent="0.3">
      <c r="A11" s="15"/>
      <c r="B11" s="17" t="s">
        <v>84</v>
      </c>
      <c r="C11" s="37" t="s">
        <v>96</v>
      </c>
      <c r="D11" s="37"/>
      <c r="E11" s="37"/>
      <c r="F11" s="37"/>
      <c r="G11" s="37"/>
      <c r="H11" s="18"/>
      <c r="I11" s="18"/>
      <c r="J11" s="18"/>
      <c r="K11" s="19"/>
    </row>
    <row r="12" spans="1:12" ht="13.35" customHeight="1" x14ac:dyDescent="0.3">
      <c r="A12" s="15"/>
      <c r="B12" s="17" t="s">
        <v>85</v>
      </c>
      <c r="C12" s="37" t="s">
        <v>95</v>
      </c>
      <c r="D12" s="37"/>
      <c r="E12" s="37"/>
      <c r="F12" s="37"/>
      <c r="G12" s="37"/>
      <c r="H12" s="18"/>
      <c r="I12" s="18"/>
      <c r="J12" s="18"/>
      <c r="K12" s="19"/>
    </row>
    <row r="13" spans="1:12" ht="13.35" customHeight="1" x14ac:dyDescent="0.25">
      <c r="A13" s="15"/>
      <c r="B13" s="35" t="s">
        <v>99</v>
      </c>
      <c r="C13" s="35" t="s">
        <v>100</v>
      </c>
      <c r="D13" s="35"/>
      <c r="E13" s="17"/>
      <c r="F13" s="17"/>
      <c r="G13" s="17"/>
      <c r="H13" s="18"/>
      <c r="I13" s="18"/>
      <c r="J13" s="18"/>
      <c r="K13" s="19"/>
    </row>
    <row r="14" spans="1:12" ht="13.35" customHeight="1" x14ac:dyDescent="0.25">
      <c r="A14" s="15"/>
      <c r="B14" s="35" t="s">
        <v>93</v>
      </c>
      <c r="C14" s="35" t="s">
        <v>101</v>
      </c>
      <c r="D14" s="35"/>
      <c r="E14" s="17"/>
      <c r="F14" s="17"/>
      <c r="G14" s="17"/>
      <c r="H14" s="18"/>
      <c r="I14" s="18"/>
      <c r="J14" s="18"/>
      <c r="K14" s="19"/>
    </row>
    <row r="15" spans="1:12" ht="13.35" customHeight="1" x14ac:dyDescent="0.25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</sheetData>
  <mergeCells count="1">
    <mergeCell ref="A5:B5"/>
  </mergeCells>
  <conditionalFormatting sqref="G3:G4">
    <cfRule type="cellIs" dxfId="1885" priority="1" operator="between">
      <formula>TODAY()</formula>
      <formula>TODAY()+10</formula>
    </cfRule>
  </conditionalFormatting>
  <dataValidations count="4">
    <dataValidation type="list" allowBlank="1" showInputMessage="1" showErrorMessage="1" sqref="B3:B4">
      <formula1>MATERIALES</formula1>
    </dataValidation>
    <dataValidation type="list" allowBlank="1" showInputMessage="1" showErrorMessage="1" sqref="C3:D4">
      <formula1>PROVEEDORES</formula1>
    </dataValidation>
    <dataValidation type="list" allowBlank="1" showInputMessage="1" showErrorMessage="1" sqref="F3:F4">
      <formula1>PLAZOdePAGO2</formula1>
    </dataValidation>
    <dataValidation type="list" allowBlank="1" showInputMessage="1" showErrorMessage="1" sqref="E3:E4">
      <formula1>PLAZOdePAGO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GridLines="0" topLeftCell="A58" workbookViewId="0">
      <selection activeCell="A71" sqref="A71:XFD78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66" t="s">
        <v>58</v>
      </c>
      <c r="B3" s="1" t="s">
        <v>35</v>
      </c>
      <c r="C3" s="107" t="s">
        <v>47</v>
      </c>
      <c r="D3" s="7" t="s">
        <v>393</v>
      </c>
      <c r="E3" s="5">
        <v>90</v>
      </c>
      <c r="F3" s="6" t="s">
        <v>20</v>
      </c>
      <c r="G3" s="7">
        <v>43055</v>
      </c>
      <c r="H3" s="9">
        <v>24</v>
      </c>
      <c r="I3" s="8">
        <v>605</v>
      </c>
      <c r="J3" s="55">
        <f>+H3*I3</f>
        <v>14520</v>
      </c>
      <c r="K3" s="106">
        <v>42971</v>
      </c>
      <c r="L3" s="10" t="s">
        <v>406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47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56" t="s">
        <v>98</v>
      </c>
      <c r="C6" s="37" t="s">
        <v>457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44" t="s">
        <v>458</v>
      </c>
      <c r="D7" s="73"/>
      <c r="E7" s="37"/>
      <c r="F7" s="37"/>
      <c r="G7" s="37"/>
      <c r="H7" s="18"/>
      <c r="I7" s="18"/>
      <c r="J7" s="18"/>
      <c r="K7" s="19"/>
    </row>
    <row r="8" spans="1:16" ht="15" x14ac:dyDescent="0.25">
      <c r="A8" s="49"/>
      <c r="B8" s="17" t="s">
        <v>169</v>
      </c>
      <c r="C8" s="44" t="s">
        <v>459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37" t="s">
        <v>460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56" t="s">
        <v>461</v>
      </c>
      <c r="C10" s="37" t="s">
        <v>467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37" t="s">
        <v>462</v>
      </c>
      <c r="D11" s="73"/>
      <c r="E11" s="37"/>
      <c r="F11" s="37"/>
      <c r="G11" s="37"/>
      <c r="H11" s="18"/>
      <c r="I11" s="18"/>
      <c r="J11" s="18"/>
      <c r="K11" s="19"/>
    </row>
    <row r="12" spans="1:16" ht="15" x14ac:dyDescent="0.25">
      <c r="A12" s="50"/>
      <c r="B12" s="21"/>
      <c r="C12" s="21"/>
      <c r="D12" s="74"/>
      <c r="E12" s="21"/>
      <c r="F12" s="21"/>
      <c r="G12" s="21"/>
      <c r="H12" s="22"/>
      <c r="I12" s="22"/>
      <c r="J12" s="22"/>
      <c r="K12" s="23"/>
    </row>
    <row r="13" spans="1:16" ht="5.0999999999999996" customHeight="1" x14ac:dyDescent="0.25">
      <c r="A13" s="47"/>
      <c r="B13" s="24"/>
      <c r="C13" s="24"/>
      <c r="D13" s="71"/>
      <c r="E13" s="24"/>
      <c r="F13" s="24"/>
      <c r="G13" s="24"/>
      <c r="H13" s="24"/>
      <c r="I13" s="24"/>
      <c r="J13" s="24"/>
      <c r="K13" s="24"/>
    </row>
    <row r="14" spans="1:16" x14ac:dyDescent="0.3">
      <c r="A14" s="66" t="s">
        <v>262</v>
      </c>
      <c r="B14" s="1" t="s">
        <v>281</v>
      </c>
      <c r="C14" s="107" t="s">
        <v>15</v>
      </c>
      <c r="D14" s="109">
        <v>10598</v>
      </c>
      <c r="E14" s="5" t="s">
        <v>5</v>
      </c>
      <c r="F14" s="6"/>
      <c r="G14" s="7">
        <v>43055</v>
      </c>
      <c r="H14" s="9">
        <v>220</v>
      </c>
      <c r="I14" s="8">
        <v>380</v>
      </c>
      <c r="J14" s="55">
        <f>+H14*I14</f>
        <v>83600</v>
      </c>
      <c r="K14" s="106">
        <v>43040</v>
      </c>
      <c r="L14" s="10" t="s">
        <v>406</v>
      </c>
    </row>
    <row r="15" spans="1:16" ht="18.75" x14ac:dyDescent="0.3">
      <c r="A15" s="531" t="s">
        <v>91</v>
      </c>
      <c r="B15" s="532"/>
      <c r="C15" s="13"/>
      <c r="D15" s="72"/>
      <c r="E15" s="13"/>
      <c r="F15" s="13"/>
      <c r="G15" s="13"/>
      <c r="H15" s="13"/>
      <c r="I15" s="13"/>
      <c r="J15" s="13"/>
      <c r="K15" s="14"/>
    </row>
    <row r="16" spans="1:16" x14ac:dyDescent="0.3">
      <c r="A16" s="49"/>
      <c r="B16" s="17" t="s">
        <v>76</v>
      </c>
      <c r="C16" s="37" t="s">
        <v>15</v>
      </c>
      <c r="D16" s="73"/>
      <c r="E16" s="37"/>
      <c r="F16" s="37"/>
      <c r="G16" s="37"/>
      <c r="H16" s="18"/>
      <c r="I16" s="18"/>
      <c r="J16" s="18"/>
      <c r="K16" s="19"/>
    </row>
    <row r="17" spans="1:12" x14ac:dyDescent="0.3">
      <c r="A17" s="49"/>
      <c r="B17" s="17" t="s">
        <v>78</v>
      </c>
      <c r="C17" s="37" t="s">
        <v>227</v>
      </c>
      <c r="D17" s="73"/>
      <c r="E17" s="37"/>
      <c r="F17" s="37"/>
      <c r="G17" s="37"/>
      <c r="H17" s="18"/>
      <c r="I17" s="59"/>
      <c r="J17" s="18"/>
      <c r="K17" s="19"/>
    </row>
    <row r="18" spans="1:12" x14ac:dyDescent="0.3">
      <c r="A18" s="49"/>
      <c r="B18" s="56" t="s">
        <v>98</v>
      </c>
      <c r="C18" s="37" t="s">
        <v>463</v>
      </c>
      <c r="D18" s="73"/>
      <c r="E18" s="37"/>
      <c r="F18" s="37"/>
      <c r="G18" s="37"/>
      <c r="H18" s="18"/>
      <c r="I18" s="18"/>
      <c r="J18" s="18"/>
      <c r="K18" s="19"/>
      <c r="L18" s="108"/>
    </row>
    <row r="19" spans="1:12" x14ac:dyDescent="0.3">
      <c r="A19" s="49"/>
      <c r="B19" s="17" t="s">
        <v>81</v>
      </c>
      <c r="C19" s="45">
        <v>100715.01</v>
      </c>
      <c r="D19" s="73"/>
      <c r="E19" s="37"/>
      <c r="F19" s="37"/>
      <c r="G19" s="37"/>
      <c r="H19" s="18"/>
      <c r="I19" s="18"/>
      <c r="J19" s="18"/>
      <c r="K19" s="19"/>
      <c r="L19" s="108"/>
    </row>
    <row r="20" spans="1:12" ht="15" x14ac:dyDescent="0.25">
      <c r="A20" s="49"/>
      <c r="B20" s="17" t="s">
        <v>169</v>
      </c>
      <c r="C20" s="45" t="s">
        <v>466</v>
      </c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464</v>
      </c>
      <c r="C21" s="44" t="s">
        <v>465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56" t="s">
        <v>461</v>
      </c>
      <c r="C22" s="37" t="s">
        <v>468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81</v>
      </c>
      <c r="C23" s="45">
        <v>36246272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464</v>
      </c>
      <c r="C24" s="45" t="s">
        <v>469</v>
      </c>
      <c r="D24" s="73"/>
      <c r="E24" s="37"/>
      <c r="F24" s="37"/>
      <c r="G24" s="37"/>
      <c r="H24" s="18"/>
      <c r="I24" s="18"/>
      <c r="J24" s="18"/>
      <c r="K24" s="19"/>
    </row>
    <row r="25" spans="1:12" ht="15" x14ac:dyDescent="0.25">
      <c r="A25" s="50"/>
      <c r="B25" s="21"/>
      <c r="C25" s="21"/>
      <c r="D25" s="74"/>
      <c r="E25" s="21"/>
      <c r="F25" s="21"/>
      <c r="G25" s="21"/>
      <c r="H25" s="22"/>
      <c r="I25" s="22"/>
      <c r="J25" s="22"/>
      <c r="K25" s="23"/>
    </row>
    <row r="26" spans="1:12" ht="5.0999999999999996" customHeight="1" x14ac:dyDescent="0.25">
      <c r="A26" s="47"/>
      <c r="B26" s="24"/>
      <c r="C26" s="24"/>
      <c r="D26" s="71"/>
      <c r="E26" s="24"/>
      <c r="F26" s="24"/>
      <c r="G26" s="24"/>
      <c r="H26" s="24"/>
      <c r="I26" s="24"/>
      <c r="J26" s="24"/>
      <c r="K26" s="24"/>
    </row>
    <row r="27" spans="1:12" x14ac:dyDescent="0.3">
      <c r="A27" s="66" t="s">
        <v>65</v>
      </c>
      <c r="B27" s="1" t="s">
        <v>35</v>
      </c>
      <c r="C27" s="107" t="s">
        <v>15</v>
      </c>
      <c r="D27" s="110">
        <v>10673</v>
      </c>
      <c r="E27" s="5" t="s">
        <v>5</v>
      </c>
      <c r="F27" s="6"/>
      <c r="G27" s="7">
        <v>43055</v>
      </c>
      <c r="H27" s="9">
        <v>200</v>
      </c>
      <c r="I27" s="8">
        <v>653</v>
      </c>
      <c r="J27" s="55">
        <f>+H27*I27</f>
        <v>130600</v>
      </c>
      <c r="K27" s="106">
        <v>43039</v>
      </c>
      <c r="L27" s="10" t="s">
        <v>406</v>
      </c>
    </row>
    <row r="28" spans="1:12" ht="18.75" x14ac:dyDescent="0.3">
      <c r="A28" s="531" t="s">
        <v>91</v>
      </c>
      <c r="B28" s="532"/>
      <c r="C28" s="13"/>
      <c r="D28" s="72"/>
      <c r="E28" s="13"/>
      <c r="F28" s="13"/>
      <c r="G28" s="13"/>
      <c r="H28" s="13"/>
      <c r="I28" s="13"/>
      <c r="J28" s="13"/>
      <c r="K28" s="14"/>
    </row>
    <row r="29" spans="1:12" x14ac:dyDescent="0.3">
      <c r="A29" s="49"/>
      <c r="B29" s="17" t="s">
        <v>76</v>
      </c>
      <c r="C29" s="37" t="s">
        <v>15</v>
      </c>
      <c r="D29" s="73"/>
      <c r="E29" s="37"/>
      <c r="F29" s="37"/>
      <c r="G29" s="37"/>
      <c r="H29" s="18"/>
      <c r="I29" s="18"/>
      <c r="J29" s="18"/>
      <c r="K29" s="19"/>
    </row>
    <row r="30" spans="1:12" x14ac:dyDescent="0.3">
      <c r="A30" s="49"/>
      <c r="B30" s="17" t="s">
        <v>78</v>
      </c>
      <c r="C30" s="37" t="s">
        <v>227</v>
      </c>
      <c r="D30" s="73"/>
      <c r="E30" s="37"/>
      <c r="F30" s="37"/>
      <c r="G30" s="37"/>
      <c r="H30" s="18"/>
      <c r="I30" s="59"/>
      <c r="J30" s="18"/>
      <c r="K30" s="19"/>
    </row>
    <row r="31" spans="1:12" x14ac:dyDescent="0.3">
      <c r="A31" s="49"/>
      <c r="B31" s="56" t="s">
        <v>98</v>
      </c>
      <c r="C31" s="45" t="s">
        <v>387</v>
      </c>
      <c r="D31" s="73"/>
      <c r="E31" s="37"/>
      <c r="F31" s="37"/>
      <c r="G31" s="37"/>
      <c r="H31" s="18"/>
      <c r="I31" s="18"/>
      <c r="J31" s="18"/>
      <c r="K31" s="19"/>
      <c r="L31" s="108"/>
    </row>
    <row r="32" spans="1:12" x14ac:dyDescent="0.3">
      <c r="A32" s="49"/>
      <c r="B32" s="17" t="s">
        <v>78</v>
      </c>
      <c r="C32" s="17" t="s">
        <v>388</v>
      </c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81</v>
      </c>
      <c r="C33" s="45" t="s">
        <v>389</v>
      </c>
      <c r="D33" s="73"/>
      <c r="E33" s="37"/>
      <c r="F33" s="37"/>
      <c r="G33" s="37"/>
      <c r="H33" s="18"/>
      <c r="I33" s="18"/>
      <c r="J33" s="18"/>
      <c r="K33" s="19"/>
    </row>
    <row r="34" spans="1:12" ht="15" x14ac:dyDescent="0.25">
      <c r="A34" s="49"/>
      <c r="B34" s="17" t="s">
        <v>169</v>
      </c>
      <c r="C34" s="45" t="s">
        <v>390</v>
      </c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85</v>
      </c>
      <c r="C35" s="45" t="s">
        <v>391</v>
      </c>
      <c r="D35" s="73"/>
      <c r="E35" s="37"/>
      <c r="F35" s="37"/>
      <c r="G35" s="37"/>
      <c r="H35" s="18"/>
      <c r="I35" s="18"/>
      <c r="J35" s="18"/>
      <c r="K35" s="19"/>
    </row>
    <row r="36" spans="1:12" ht="15" x14ac:dyDescent="0.25">
      <c r="A36" s="50"/>
      <c r="B36" s="21"/>
      <c r="C36" s="21"/>
      <c r="D36" s="74"/>
      <c r="E36" s="21"/>
      <c r="F36" s="21"/>
      <c r="G36" s="21"/>
      <c r="H36" s="22"/>
      <c r="I36" s="22"/>
      <c r="J36" s="22"/>
      <c r="K36" s="23"/>
    </row>
    <row r="37" spans="1:12" ht="5.0999999999999996" customHeight="1" x14ac:dyDescent="0.25">
      <c r="A37" s="47"/>
      <c r="B37" s="24"/>
      <c r="C37" s="24"/>
      <c r="D37" s="71"/>
      <c r="E37" s="24"/>
      <c r="F37" s="24"/>
      <c r="G37" s="24"/>
      <c r="H37" s="24"/>
      <c r="I37" s="24"/>
      <c r="J37" s="24"/>
      <c r="K37" s="24"/>
    </row>
    <row r="38" spans="1:12" ht="15" x14ac:dyDescent="0.25">
      <c r="A38" s="66" t="s">
        <v>321</v>
      </c>
      <c r="B38" s="1" t="s">
        <v>11</v>
      </c>
      <c r="C38" s="107" t="s">
        <v>244</v>
      </c>
      <c r="D38" s="7" t="s">
        <v>454</v>
      </c>
      <c r="E38" s="5" t="s">
        <v>5</v>
      </c>
      <c r="F38" s="6"/>
      <c r="G38" s="7">
        <v>43055</v>
      </c>
      <c r="H38" s="9">
        <v>400.8</v>
      </c>
      <c r="I38" s="8">
        <v>282</v>
      </c>
      <c r="J38" s="55">
        <f>+H38*I38</f>
        <v>113025.60000000001</v>
      </c>
      <c r="K38" s="106">
        <v>43037</v>
      </c>
      <c r="L38" s="10" t="s">
        <v>406</v>
      </c>
    </row>
    <row r="39" spans="1:12" ht="18.75" x14ac:dyDescent="0.3">
      <c r="A39" s="531" t="s">
        <v>91</v>
      </c>
      <c r="B39" s="532"/>
      <c r="C39" s="13"/>
      <c r="D39" s="72"/>
      <c r="E39" s="13"/>
      <c r="F39" s="13"/>
      <c r="G39" s="13"/>
      <c r="H39" s="13"/>
      <c r="I39" s="13"/>
      <c r="J39" s="13"/>
      <c r="K39" s="14"/>
    </row>
    <row r="40" spans="1:12" x14ac:dyDescent="0.3">
      <c r="A40" s="49"/>
      <c r="B40" s="17" t="s">
        <v>76</v>
      </c>
      <c r="C40" s="37" t="s">
        <v>296</v>
      </c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49"/>
      <c r="B41" s="17" t="s">
        <v>78</v>
      </c>
      <c r="C41" s="37" t="s">
        <v>419</v>
      </c>
      <c r="D41" s="73"/>
      <c r="E41" s="37"/>
      <c r="F41" s="37"/>
      <c r="G41" s="37"/>
      <c r="H41" s="18"/>
      <c r="I41" s="59"/>
      <c r="J41" s="18"/>
      <c r="K41" s="19"/>
    </row>
    <row r="42" spans="1:12" x14ac:dyDescent="0.3">
      <c r="A42" s="49"/>
      <c r="B42" s="56" t="s">
        <v>98</v>
      </c>
      <c r="C42" s="37" t="s">
        <v>420</v>
      </c>
      <c r="D42" s="73"/>
      <c r="E42" s="37"/>
      <c r="F42" s="37"/>
      <c r="G42" s="37"/>
      <c r="H42" s="18"/>
      <c r="I42" s="18"/>
      <c r="J42" s="18"/>
      <c r="K42" s="19"/>
      <c r="L42" s="108"/>
    </row>
    <row r="43" spans="1:12" x14ac:dyDescent="0.3">
      <c r="A43" s="49"/>
      <c r="B43" s="17" t="s">
        <v>78</v>
      </c>
      <c r="C43" s="37" t="s">
        <v>421</v>
      </c>
      <c r="D43" s="73"/>
      <c r="E43" s="37"/>
      <c r="F43" s="37"/>
      <c r="G43" s="37"/>
      <c r="H43" s="18"/>
      <c r="I43" s="18"/>
      <c r="J43" s="18"/>
      <c r="K43" s="19"/>
    </row>
    <row r="44" spans="1:12" x14ac:dyDescent="0.3">
      <c r="A44" s="49"/>
      <c r="B44" s="17" t="s">
        <v>81</v>
      </c>
      <c r="C44" s="37" t="s">
        <v>422</v>
      </c>
      <c r="D44" s="73"/>
      <c r="E44" s="37"/>
      <c r="F44" s="37"/>
      <c r="G44" s="37"/>
      <c r="H44" s="18"/>
      <c r="I44" s="18"/>
      <c r="J44" s="18"/>
      <c r="K44" s="19"/>
    </row>
    <row r="45" spans="1:12" x14ac:dyDescent="0.3">
      <c r="A45" s="49"/>
      <c r="B45" s="17" t="s">
        <v>85</v>
      </c>
      <c r="C45" s="37" t="s">
        <v>297</v>
      </c>
      <c r="D45" s="73"/>
      <c r="E45" s="37"/>
      <c r="F45" s="37"/>
      <c r="G45" s="37"/>
      <c r="H45" s="18"/>
      <c r="I45" s="18"/>
      <c r="J45" s="18"/>
      <c r="K45" s="19"/>
    </row>
    <row r="46" spans="1:12" ht="15" x14ac:dyDescent="0.25">
      <c r="A46" s="50"/>
      <c r="B46" s="21"/>
      <c r="C46" s="21"/>
      <c r="D46" s="74"/>
      <c r="E46" s="21"/>
      <c r="F46" s="21"/>
      <c r="G46" s="21"/>
      <c r="H46" s="22"/>
      <c r="I46" s="22"/>
      <c r="J46" s="22"/>
      <c r="K46" s="23"/>
    </row>
    <row r="47" spans="1:12" ht="5.0999999999999996" customHeight="1" x14ac:dyDescent="0.25">
      <c r="A47" s="47"/>
      <c r="B47" s="24"/>
      <c r="C47" s="24"/>
      <c r="D47" s="71"/>
      <c r="E47" s="24"/>
      <c r="F47" s="24"/>
      <c r="G47" s="24"/>
      <c r="H47" s="24"/>
      <c r="I47" s="24"/>
      <c r="J47" s="24"/>
      <c r="K47" s="24"/>
    </row>
    <row r="48" spans="1:12" ht="15" x14ac:dyDescent="0.25">
      <c r="A48" s="66" t="s">
        <v>71</v>
      </c>
      <c r="B48" s="1" t="s">
        <v>6</v>
      </c>
      <c r="C48" s="107" t="s">
        <v>7</v>
      </c>
      <c r="D48" s="7" t="s">
        <v>453</v>
      </c>
      <c r="E48" s="5" t="s">
        <v>5</v>
      </c>
      <c r="F48" s="6"/>
      <c r="G48" s="7">
        <v>43055</v>
      </c>
      <c r="H48" s="9">
        <v>1000</v>
      </c>
      <c r="I48" s="8">
        <v>505</v>
      </c>
      <c r="J48" s="55">
        <f>+H48*I48</f>
        <v>505000</v>
      </c>
      <c r="K48" s="106">
        <v>43044</v>
      </c>
      <c r="L48" s="10" t="s">
        <v>406</v>
      </c>
    </row>
    <row r="49" spans="1:12" ht="15" x14ac:dyDescent="0.25">
      <c r="A49" s="49" t="s">
        <v>91</v>
      </c>
      <c r="B49" s="17"/>
      <c r="C49" s="37"/>
      <c r="D49" s="73"/>
      <c r="E49" s="37"/>
      <c r="F49" s="37"/>
      <c r="G49" s="37"/>
      <c r="H49" s="18"/>
      <c r="I49" s="18"/>
      <c r="J49" s="18"/>
      <c r="K49" s="19"/>
    </row>
    <row r="50" spans="1:12" x14ac:dyDescent="0.3">
      <c r="A50" s="49"/>
      <c r="B50" s="17" t="s">
        <v>76</v>
      </c>
      <c r="C50" s="37" t="s">
        <v>92</v>
      </c>
      <c r="D50" s="73"/>
      <c r="E50" s="37"/>
      <c r="F50" s="37"/>
      <c r="G50" s="37"/>
      <c r="H50" s="18"/>
      <c r="I50" s="18"/>
      <c r="J50" s="18"/>
      <c r="K50" s="19"/>
    </row>
    <row r="51" spans="1:12" x14ac:dyDescent="0.3">
      <c r="A51" s="49"/>
      <c r="B51" s="17" t="s">
        <v>78</v>
      </c>
      <c r="C51" s="37" t="s">
        <v>413</v>
      </c>
      <c r="D51" s="73"/>
      <c r="E51" s="37"/>
      <c r="F51" s="37"/>
      <c r="G51" s="37"/>
      <c r="H51" s="18"/>
      <c r="I51" s="18"/>
      <c r="J51" s="18"/>
      <c r="K51" s="19"/>
    </row>
    <row r="52" spans="1:12" x14ac:dyDescent="0.3">
      <c r="A52" s="49"/>
      <c r="B52" s="56" t="s">
        <v>98</v>
      </c>
      <c r="C52" s="37" t="s">
        <v>410</v>
      </c>
      <c r="D52" s="73"/>
      <c r="E52" s="37"/>
      <c r="F52" s="37"/>
      <c r="G52" s="37"/>
      <c r="H52" s="18"/>
      <c r="I52" s="18"/>
      <c r="J52" s="18"/>
      <c r="K52" s="19"/>
    </row>
    <row r="53" spans="1:12" x14ac:dyDescent="0.3">
      <c r="A53" s="49"/>
      <c r="B53" s="17" t="s">
        <v>81</v>
      </c>
      <c r="C53" s="37" t="s">
        <v>424</v>
      </c>
      <c r="D53" s="73"/>
      <c r="E53" s="37"/>
      <c r="F53" s="37"/>
      <c r="G53" s="37"/>
      <c r="H53" s="18"/>
      <c r="I53" s="18"/>
      <c r="J53" s="18"/>
      <c r="K53" s="19"/>
    </row>
    <row r="54" spans="1:12" ht="15" x14ac:dyDescent="0.25">
      <c r="A54" s="49"/>
      <c r="B54" s="17" t="s">
        <v>169</v>
      </c>
      <c r="C54" s="37" t="s">
        <v>412</v>
      </c>
      <c r="D54" s="73"/>
      <c r="E54" s="37"/>
      <c r="F54" s="37"/>
      <c r="G54" s="37"/>
      <c r="H54" s="18"/>
      <c r="I54" s="18"/>
      <c r="J54" s="18"/>
      <c r="K54" s="19"/>
    </row>
    <row r="55" spans="1:12" x14ac:dyDescent="0.3">
      <c r="A55" s="49"/>
      <c r="B55" s="17" t="s">
        <v>85</v>
      </c>
      <c r="C55" s="37" t="s">
        <v>104</v>
      </c>
      <c r="D55" s="73"/>
      <c r="E55" s="37"/>
      <c r="F55" s="37"/>
      <c r="G55" s="37"/>
      <c r="H55" s="18"/>
      <c r="I55" s="18"/>
      <c r="J55" s="18"/>
      <c r="K55" s="19"/>
    </row>
    <row r="56" spans="1:12" ht="15" x14ac:dyDescent="0.25">
      <c r="A56" s="49"/>
      <c r="B56" s="17"/>
      <c r="C56" s="37"/>
      <c r="D56" s="73"/>
      <c r="E56" s="37"/>
      <c r="F56" s="37"/>
      <c r="G56" s="37"/>
      <c r="H56" s="18"/>
      <c r="I56" s="18"/>
      <c r="J56" s="18"/>
      <c r="K56" s="19"/>
    </row>
    <row r="57" spans="1:12" ht="5.0999999999999996" customHeight="1" x14ac:dyDescent="0.25">
      <c r="A57" s="47"/>
      <c r="B57" s="24"/>
      <c r="C57" s="24"/>
      <c r="D57" s="71"/>
      <c r="E57" s="24"/>
      <c r="F57" s="24"/>
      <c r="G57" s="24"/>
      <c r="H57" s="24"/>
      <c r="I57" s="24"/>
      <c r="J57" s="24"/>
      <c r="K57" s="24"/>
    </row>
    <row r="58" spans="1:12" ht="15" x14ac:dyDescent="0.25">
      <c r="A58" s="66" t="s">
        <v>351</v>
      </c>
      <c r="B58" s="1" t="s">
        <v>359</v>
      </c>
      <c r="C58" s="107" t="s">
        <v>7</v>
      </c>
      <c r="D58" s="109">
        <v>20171315</v>
      </c>
      <c r="E58" s="5" t="s">
        <v>5</v>
      </c>
      <c r="F58" s="6"/>
      <c r="G58" s="7">
        <v>43055</v>
      </c>
      <c r="H58" s="9">
        <v>125</v>
      </c>
      <c r="I58" s="8">
        <v>825</v>
      </c>
      <c r="J58" s="55">
        <f>+H58*I58</f>
        <v>103125</v>
      </c>
      <c r="K58" s="106">
        <v>43037</v>
      </c>
      <c r="L58" s="10" t="s">
        <v>406</v>
      </c>
    </row>
    <row r="59" spans="1:12" ht="15" x14ac:dyDescent="0.25">
      <c r="A59" s="49" t="s">
        <v>91</v>
      </c>
      <c r="B59" s="17"/>
      <c r="C59" s="37"/>
      <c r="D59" s="73"/>
      <c r="E59" s="37"/>
      <c r="F59" s="37"/>
      <c r="G59" s="37"/>
      <c r="H59" s="18"/>
      <c r="I59" s="18"/>
      <c r="J59" s="18"/>
      <c r="K59" s="19"/>
    </row>
    <row r="60" spans="1:12" x14ac:dyDescent="0.3">
      <c r="A60" s="49"/>
      <c r="B60" s="17" t="s">
        <v>76</v>
      </c>
      <c r="C60" s="37" t="s">
        <v>92</v>
      </c>
      <c r="D60" s="73"/>
      <c r="E60" s="37"/>
      <c r="F60" s="37"/>
      <c r="G60" s="37"/>
      <c r="H60" s="18"/>
      <c r="I60" s="18"/>
      <c r="J60" s="18"/>
      <c r="K60" s="19"/>
    </row>
    <row r="61" spans="1:12" x14ac:dyDescent="0.3">
      <c r="A61" s="49"/>
      <c r="B61" s="17" t="s">
        <v>78</v>
      </c>
      <c r="C61" s="37" t="s">
        <v>413</v>
      </c>
      <c r="D61" s="73"/>
      <c r="E61" s="37"/>
      <c r="F61" s="37"/>
      <c r="G61" s="37"/>
      <c r="H61" s="18"/>
      <c r="I61" s="18"/>
      <c r="J61" s="18"/>
      <c r="K61" s="19"/>
    </row>
    <row r="62" spans="1:12" x14ac:dyDescent="0.3">
      <c r="A62" s="49"/>
      <c r="B62" s="56" t="s">
        <v>98</v>
      </c>
      <c r="C62" s="37" t="s">
        <v>470</v>
      </c>
      <c r="D62" s="73"/>
      <c r="E62" s="37"/>
      <c r="F62" s="37"/>
      <c r="G62" s="37"/>
      <c r="H62" s="18"/>
      <c r="I62" s="18"/>
      <c r="J62" s="18"/>
      <c r="K62" s="19"/>
    </row>
    <row r="63" spans="1:12" x14ac:dyDescent="0.3">
      <c r="A63" s="49"/>
      <c r="B63" s="17" t="s">
        <v>81</v>
      </c>
      <c r="C63" s="37" t="s">
        <v>471</v>
      </c>
      <c r="D63" s="73"/>
      <c r="E63" s="37"/>
      <c r="F63" s="37"/>
      <c r="G63" s="37"/>
      <c r="H63" s="18"/>
      <c r="I63" s="18"/>
      <c r="J63" s="18"/>
      <c r="K63" s="19"/>
    </row>
    <row r="64" spans="1:12" ht="15" x14ac:dyDescent="0.25">
      <c r="A64" s="49"/>
      <c r="B64" s="17" t="s">
        <v>169</v>
      </c>
      <c r="C64" s="37" t="s">
        <v>472</v>
      </c>
      <c r="D64" s="73"/>
      <c r="E64" s="37"/>
      <c r="F64" s="37"/>
      <c r="G64" s="37"/>
      <c r="H64" s="18"/>
      <c r="I64" s="18"/>
      <c r="J64" s="18"/>
      <c r="K64" s="19"/>
    </row>
    <row r="65" spans="1:12" ht="15" x14ac:dyDescent="0.25">
      <c r="A65" s="49"/>
      <c r="B65" s="56" t="s">
        <v>99</v>
      </c>
      <c r="C65" s="44" t="s">
        <v>473</v>
      </c>
      <c r="D65" s="73"/>
      <c r="E65" s="37"/>
      <c r="F65" s="37"/>
      <c r="G65" s="37"/>
      <c r="H65" s="18"/>
      <c r="I65" s="18"/>
      <c r="J65" s="18"/>
      <c r="K65" s="19"/>
    </row>
    <row r="66" spans="1:12" x14ac:dyDescent="0.3">
      <c r="A66" s="49"/>
      <c r="B66" s="17" t="s">
        <v>81</v>
      </c>
      <c r="C66" s="37" t="s">
        <v>474</v>
      </c>
      <c r="D66" s="73"/>
      <c r="E66" s="37"/>
      <c r="F66" s="37"/>
      <c r="G66" s="37"/>
      <c r="H66" s="18"/>
      <c r="I66" s="18"/>
      <c r="J66" s="18"/>
      <c r="K66" s="19"/>
    </row>
    <row r="67" spans="1:12" x14ac:dyDescent="0.3">
      <c r="A67" s="49"/>
      <c r="B67" s="17" t="s">
        <v>85</v>
      </c>
      <c r="C67" s="37" t="s">
        <v>475</v>
      </c>
      <c r="D67" s="73"/>
      <c r="E67" s="37"/>
      <c r="F67" s="37"/>
      <c r="G67" s="37"/>
      <c r="H67" s="18"/>
      <c r="I67" s="18"/>
      <c r="J67" s="18"/>
      <c r="K67" s="19"/>
    </row>
    <row r="68" spans="1:12" ht="15" x14ac:dyDescent="0.25">
      <c r="A68" s="49"/>
      <c r="B68" s="17"/>
      <c r="C68" s="37"/>
      <c r="D68" s="73"/>
      <c r="E68" s="37"/>
      <c r="F68" s="37"/>
      <c r="G68" s="37"/>
      <c r="H68" s="18"/>
      <c r="I68" s="18"/>
      <c r="J68" s="18"/>
      <c r="K68" s="19"/>
    </row>
    <row r="69" spans="1:12" ht="5.0999999999999996" customHeight="1" x14ac:dyDescent="0.25">
      <c r="A69" s="47"/>
      <c r="B69" s="24"/>
      <c r="C69" s="24"/>
      <c r="D69" s="71"/>
      <c r="E69" s="24"/>
      <c r="F69" s="24"/>
      <c r="G69" s="24"/>
      <c r="H69" s="24"/>
      <c r="I69" s="24"/>
      <c r="J69" s="24"/>
      <c r="K69" s="24"/>
    </row>
    <row r="70" spans="1:12" ht="15" x14ac:dyDescent="0.25">
      <c r="A70" s="66" t="s">
        <v>439</v>
      </c>
      <c r="B70" s="1" t="s">
        <v>6</v>
      </c>
      <c r="C70" s="107" t="s">
        <v>17</v>
      </c>
      <c r="D70" s="109">
        <v>17110020</v>
      </c>
      <c r="E70" s="5" t="s">
        <v>5</v>
      </c>
      <c r="F70" s="6"/>
      <c r="G70" s="7">
        <v>43055</v>
      </c>
      <c r="H70" s="9">
        <v>500</v>
      </c>
      <c r="I70" s="8">
        <v>510</v>
      </c>
      <c r="J70" s="55">
        <f>255000*0.6</f>
        <v>153000</v>
      </c>
      <c r="K70" s="106">
        <v>43099</v>
      </c>
      <c r="L70" s="10" t="s">
        <v>406</v>
      </c>
    </row>
    <row r="71" spans="1:12" ht="18.75" x14ac:dyDescent="0.3">
      <c r="A71" s="531" t="s">
        <v>91</v>
      </c>
      <c r="B71" s="532"/>
      <c r="C71" s="13"/>
      <c r="D71" s="72"/>
      <c r="E71" s="13"/>
      <c r="F71" s="13"/>
      <c r="G71" s="13"/>
      <c r="H71" s="13"/>
      <c r="I71" s="13"/>
      <c r="J71" s="13"/>
      <c r="K71" s="14"/>
    </row>
    <row r="72" spans="1:12" x14ac:dyDescent="0.3">
      <c r="A72" s="49"/>
      <c r="B72" s="17" t="s">
        <v>76</v>
      </c>
      <c r="C72" s="37" t="s">
        <v>17</v>
      </c>
      <c r="D72" s="73"/>
      <c r="E72" s="37"/>
      <c r="F72" s="37"/>
      <c r="G72" s="37"/>
      <c r="H72" s="18"/>
      <c r="I72" s="18"/>
      <c r="J72" s="18"/>
      <c r="K72" s="19"/>
    </row>
    <row r="73" spans="1:12" x14ac:dyDescent="0.3">
      <c r="A73" s="49"/>
      <c r="B73" s="17" t="s">
        <v>83</v>
      </c>
      <c r="C73" s="37" t="s">
        <v>349</v>
      </c>
      <c r="D73" s="73"/>
      <c r="E73" s="37"/>
      <c r="F73" s="37"/>
      <c r="G73" s="37"/>
      <c r="H73" s="18"/>
      <c r="I73" s="59"/>
      <c r="J73" s="18"/>
      <c r="K73" s="19"/>
    </row>
    <row r="74" spans="1:12" x14ac:dyDescent="0.3">
      <c r="A74" s="49"/>
      <c r="B74" s="17" t="s">
        <v>81</v>
      </c>
      <c r="C74" s="37" t="s">
        <v>345</v>
      </c>
      <c r="D74" s="73"/>
      <c r="E74" s="37"/>
      <c r="F74" s="37"/>
      <c r="G74" s="37"/>
      <c r="H74" s="18"/>
      <c r="I74" s="18"/>
      <c r="J74" s="18"/>
      <c r="K74" s="19"/>
    </row>
    <row r="75" spans="1:12" x14ac:dyDescent="0.3">
      <c r="A75" s="49"/>
      <c r="B75" s="56" t="s">
        <v>98</v>
      </c>
      <c r="C75" s="44" t="s">
        <v>346</v>
      </c>
      <c r="D75" s="73"/>
      <c r="E75" s="37"/>
      <c r="F75" s="37"/>
      <c r="G75" s="37"/>
      <c r="H75" s="18"/>
      <c r="I75" s="18"/>
      <c r="J75" s="18"/>
      <c r="K75" s="19"/>
    </row>
    <row r="76" spans="1:12" x14ac:dyDescent="0.3">
      <c r="A76" s="49"/>
      <c r="B76" s="17" t="s">
        <v>84</v>
      </c>
      <c r="C76" s="44" t="s">
        <v>347</v>
      </c>
      <c r="D76" s="73"/>
      <c r="E76" s="37"/>
      <c r="F76" s="37"/>
      <c r="G76" s="37"/>
      <c r="H76" s="18"/>
      <c r="I76" s="18"/>
      <c r="J76" s="18"/>
      <c r="K76" s="19"/>
    </row>
    <row r="77" spans="1:12" x14ac:dyDescent="0.3">
      <c r="A77" s="49"/>
      <c r="B77" s="17" t="s">
        <v>85</v>
      </c>
      <c r="C77" s="44" t="s">
        <v>348</v>
      </c>
      <c r="D77" s="73"/>
      <c r="E77" s="37"/>
      <c r="F77" s="37"/>
      <c r="G77" s="37"/>
      <c r="H77" s="18"/>
      <c r="I77" s="18"/>
      <c r="J77" s="18"/>
      <c r="K77" s="19"/>
    </row>
    <row r="78" spans="1:12" ht="15" x14ac:dyDescent="0.25">
      <c r="A78" s="50"/>
      <c r="B78" s="21"/>
      <c r="C78" s="21"/>
      <c r="D78" s="74"/>
      <c r="E78" s="21"/>
      <c r="F78" s="21"/>
      <c r="G78" s="21"/>
      <c r="H78" s="22"/>
      <c r="I78" s="22"/>
      <c r="J78" s="22"/>
      <c r="K78" s="23"/>
    </row>
  </sheetData>
  <mergeCells count="6">
    <mergeCell ref="A71:B71"/>
    <mergeCell ref="L1:P1"/>
    <mergeCell ref="A4:B4"/>
    <mergeCell ref="A28:B28"/>
    <mergeCell ref="A39:B39"/>
    <mergeCell ref="A15:B15"/>
  </mergeCells>
  <conditionalFormatting sqref="G14">
    <cfRule type="cellIs" dxfId="1802" priority="12" operator="between">
      <formula>TODAY()</formula>
      <formula>TODAY()+10</formula>
    </cfRule>
  </conditionalFormatting>
  <conditionalFormatting sqref="G3">
    <cfRule type="cellIs" dxfId="1801" priority="11" operator="between">
      <formula>TODAY()</formula>
      <formula>TODAY()+10</formula>
    </cfRule>
  </conditionalFormatting>
  <conditionalFormatting sqref="G27">
    <cfRule type="cellIs" dxfId="1800" priority="10" operator="between">
      <formula>TODAY()</formula>
      <formula>TODAY()+10</formula>
    </cfRule>
  </conditionalFormatting>
  <conditionalFormatting sqref="G38">
    <cfRule type="cellIs" dxfId="1799" priority="7" operator="between">
      <formula>TODAY()</formula>
      <formula>TODAY()+10</formula>
    </cfRule>
  </conditionalFormatting>
  <conditionalFormatting sqref="G48">
    <cfRule type="cellIs" dxfId="1798" priority="6" operator="between">
      <formula>TODAY()</formula>
      <formula>TODAY()+10</formula>
    </cfRule>
  </conditionalFormatting>
  <conditionalFormatting sqref="G58">
    <cfRule type="cellIs" dxfId="1797" priority="5" operator="between">
      <formula>TODAY()</formula>
      <formula>TODAY()+10</formula>
    </cfRule>
  </conditionalFormatting>
  <conditionalFormatting sqref="G70">
    <cfRule type="cellIs" dxfId="1796" priority="2" operator="between">
      <formula>TODAY()</formula>
      <formula>TODAY()+10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GridLines="0" workbookViewId="0">
      <selection activeCell="C56" sqref="C56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308</v>
      </c>
      <c r="B3" s="1" t="s">
        <v>56</v>
      </c>
      <c r="C3" s="107" t="s">
        <v>50</v>
      </c>
      <c r="D3" s="7" t="s">
        <v>395</v>
      </c>
      <c r="E3" s="5" t="s">
        <v>5</v>
      </c>
      <c r="F3" s="6"/>
      <c r="G3" s="7">
        <v>43059</v>
      </c>
      <c r="H3" s="9">
        <v>168</v>
      </c>
      <c r="I3" s="8">
        <v>315</v>
      </c>
      <c r="J3" s="55">
        <f>+H3*I3</f>
        <v>52920</v>
      </c>
      <c r="K3" s="106">
        <v>43064</v>
      </c>
      <c r="L3" s="10" t="s">
        <v>406</v>
      </c>
    </row>
    <row r="4" spans="1:16" ht="15" x14ac:dyDescent="0.25">
      <c r="A4" s="66" t="s">
        <v>309</v>
      </c>
      <c r="B4" s="1" t="s">
        <v>56</v>
      </c>
      <c r="C4" s="107" t="s">
        <v>50</v>
      </c>
      <c r="D4" s="7" t="s">
        <v>396</v>
      </c>
      <c r="E4" s="5" t="s">
        <v>5</v>
      </c>
      <c r="F4" s="6"/>
      <c r="G4" s="7">
        <v>43059</v>
      </c>
      <c r="H4" s="9">
        <v>96</v>
      </c>
      <c r="I4" s="8">
        <v>320</v>
      </c>
      <c r="J4" s="55">
        <f>+I4*H4</f>
        <v>30720</v>
      </c>
      <c r="K4" s="106">
        <v>43057</v>
      </c>
      <c r="L4" s="10" t="s">
        <v>406</v>
      </c>
    </row>
    <row r="5" spans="1:16" ht="15" x14ac:dyDescent="0.25">
      <c r="A5" s="66" t="s">
        <v>312</v>
      </c>
      <c r="B5" s="1" t="s">
        <v>56</v>
      </c>
      <c r="C5" s="107" t="s">
        <v>50</v>
      </c>
      <c r="D5" s="7" t="s">
        <v>397</v>
      </c>
      <c r="E5" s="5" t="s">
        <v>5</v>
      </c>
      <c r="F5" s="6"/>
      <c r="G5" s="7">
        <v>43059</v>
      </c>
      <c r="H5" s="9">
        <v>96</v>
      </c>
      <c r="I5" s="8">
        <v>315</v>
      </c>
      <c r="J5" s="55">
        <f>+H5*I5</f>
        <v>30240</v>
      </c>
      <c r="K5" s="106">
        <v>43064</v>
      </c>
      <c r="L5" s="10" t="s">
        <v>406</v>
      </c>
    </row>
    <row r="6" spans="1:16" ht="15" x14ac:dyDescent="0.25">
      <c r="A6" s="66" t="s">
        <v>313</v>
      </c>
      <c r="B6" s="1" t="s">
        <v>56</v>
      </c>
      <c r="C6" s="107" t="s">
        <v>50</v>
      </c>
      <c r="D6" s="7" t="s">
        <v>398</v>
      </c>
      <c r="E6" s="5" t="s">
        <v>5</v>
      </c>
      <c r="F6" s="6"/>
      <c r="G6" s="7">
        <v>43059</v>
      </c>
      <c r="H6" s="9">
        <v>144</v>
      </c>
      <c r="I6" s="8">
        <v>320</v>
      </c>
      <c r="J6" s="55">
        <f>+H6*I6</f>
        <v>46080</v>
      </c>
      <c r="K6" s="106">
        <v>43064</v>
      </c>
      <c r="L6" s="10" t="s">
        <v>406</v>
      </c>
    </row>
    <row r="7" spans="1:16" ht="18.75" x14ac:dyDescent="0.3">
      <c r="A7" s="531" t="s">
        <v>91</v>
      </c>
      <c r="B7" s="532"/>
      <c r="C7" s="13"/>
      <c r="D7" s="13"/>
      <c r="E7" s="13"/>
      <c r="F7" s="13"/>
      <c r="G7" s="13"/>
      <c r="H7" s="13"/>
      <c r="I7" s="13"/>
      <c r="J7" s="13"/>
      <c r="K7" s="14"/>
    </row>
    <row r="8" spans="1:16" x14ac:dyDescent="0.3">
      <c r="A8" s="49"/>
      <c r="B8" s="17" t="s">
        <v>76</v>
      </c>
      <c r="C8" s="37" t="s">
        <v>192</v>
      </c>
      <c r="D8" s="37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78</v>
      </c>
      <c r="C9" s="37" t="s">
        <v>193</v>
      </c>
      <c r="D9" s="37"/>
      <c r="E9" s="37"/>
      <c r="F9" s="37"/>
      <c r="G9" s="37"/>
      <c r="H9" s="18"/>
      <c r="I9" s="59"/>
      <c r="J9" s="18"/>
      <c r="K9" s="19"/>
    </row>
    <row r="10" spans="1:16" x14ac:dyDescent="0.3">
      <c r="A10" s="49"/>
      <c r="B10" s="56" t="s">
        <v>98</v>
      </c>
      <c r="C10" s="45" t="s">
        <v>194</v>
      </c>
      <c r="D10" s="37"/>
      <c r="E10" s="37"/>
      <c r="F10" s="37"/>
      <c r="G10" s="37"/>
      <c r="H10" s="18"/>
      <c r="I10" s="18"/>
      <c r="J10" s="18"/>
      <c r="K10" s="19"/>
    </row>
    <row r="11" spans="1:16" ht="15" x14ac:dyDescent="0.25">
      <c r="A11" s="49"/>
      <c r="B11" s="17" t="s">
        <v>169</v>
      </c>
      <c r="C11" s="17" t="s">
        <v>196</v>
      </c>
      <c r="D11" s="37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85</v>
      </c>
      <c r="C12" s="44" t="s">
        <v>195</v>
      </c>
      <c r="D12" s="37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56" t="s">
        <v>165</v>
      </c>
      <c r="C13" s="45" t="s">
        <v>197</v>
      </c>
      <c r="D13" s="37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45" t="s">
        <v>199</v>
      </c>
      <c r="D14" s="37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56" t="s">
        <v>198</v>
      </c>
      <c r="C15" s="45" t="s">
        <v>200</v>
      </c>
      <c r="D15" s="37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17" t="s">
        <v>85</v>
      </c>
      <c r="C16" s="45" t="s">
        <v>201</v>
      </c>
      <c r="D16" s="37"/>
      <c r="E16" s="37"/>
      <c r="F16" s="37"/>
      <c r="G16" s="37"/>
      <c r="H16" s="18"/>
      <c r="I16" s="18"/>
      <c r="J16" s="18"/>
      <c r="K16" s="19"/>
    </row>
    <row r="17" spans="1:12" ht="15" x14ac:dyDescent="0.25">
      <c r="A17" s="5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2" ht="5.0999999999999996" customHeight="1" x14ac:dyDescent="0.25">
      <c r="A18" s="47"/>
      <c r="B18" s="24"/>
      <c r="C18" s="24"/>
      <c r="D18" s="71"/>
      <c r="E18" s="24"/>
      <c r="F18" s="24"/>
      <c r="G18" s="24"/>
      <c r="H18" s="24"/>
      <c r="I18" s="24"/>
      <c r="J18" s="24"/>
      <c r="K18" s="24"/>
    </row>
    <row r="19" spans="1:12" x14ac:dyDescent="0.3">
      <c r="A19" s="66" t="s">
        <v>232</v>
      </c>
      <c r="B19" s="1" t="s">
        <v>35</v>
      </c>
      <c r="C19" s="107" t="s">
        <v>47</v>
      </c>
      <c r="D19" s="7" t="s">
        <v>392</v>
      </c>
      <c r="E19" s="5">
        <v>90</v>
      </c>
      <c r="F19" s="6" t="s">
        <v>20</v>
      </c>
      <c r="G19" s="7">
        <v>43062</v>
      </c>
      <c r="H19" s="9">
        <v>72</v>
      </c>
      <c r="I19" s="8">
        <v>625</v>
      </c>
      <c r="J19" s="55">
        <f>+I19*H19</f>
        <v>45000</v>
      </c>
      <c r="K19" s="106">
        <v>42971</v>
      </c>
      <c r="L19" s="10" t="s">
        <v>406</v>
      </c>
    </row>
    <row r="20" spans="1:12" ht="18.75" x14ac:dyDescent="0.3">
      <c r="A20" s="531" t="s">
        <v>91</v>
      </c>
      <c r="B20" s="532"/>
      <c r="C20" s="13"/>
      <c r="D20" s="72"/>
      <c r="E20" s="13"/>
      <c r="F20" s="13"/>
      <c r="G20" s="13"/>
      <c r="H20" s="13"/>
      <c r="I20" s="13"/>
      <c r="J20" s="13"/>
      <c r="K20" s="14"/>
    </row>
    <row r="21" spans="1:12" x14ac:dyDescent="0.3">
      <c r="A21" s="49"/>
      <c r="B21" s="17" t="s">
        <v>76</v>
      </c>
      <c r="C21" s="37" t="s">
        <v>47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56" t="s">
        <v>98</v>
      </c>
      <c r="C22" s="37" t="s">
        <v>457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78</v>
      </c>
      <c r="C23" s="44" t="s">
        <v>458</v>
      </c>
      <c r="D23" s="73"/>
      <c r="E23" s="37"/>
      <c r="F23" s="37"/>
      <c r="G23" s="37"/>
      <c r="H23" s="18"/>
      <c r="I23" s="18"/>
      <c r="J23" s="18"/>
      <c r="K23" s="19"/>
    </row>
    <row r="24" spans="1:12" ht="15" x14ac:dyDescent="0.25">
      <c r="A24" s="49"/>
      <c r="B24" s="17" t="s">
        <v>169</v>
      </c>
      <c r="C24" s="44" t="s">
        <v>459</v>
      </c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85</v>
      </c>
      <c r="C25" s="37" t="s">
        <v>460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56" t="s">
        <v>461</v>
      </c>
      <c r="C26" s="37" t="s">
        <v>467</v>
      </c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85</v>
      </c>
      <c r="C27" s="37" t="s">
        <v>462</v>
      </c>
      <c r="D27" s="73"/>
      <c r="E27" s="37"/>
      <c r="F27" s="37"/>
      <c r="G27" s="37"/>
      <c r="H27" s="18"/>
      <c r="I27" s="18"/>
      <c r="J27" s="18"/>
      <c r="K27" s="19"/>
    </row>
    <row r="28" spans="1:12" ht="15" x14ac:dyDescent="0.25">
      <c r="A28" s="50"/>
      <c r="B28" s="21"/>
      <c r="C28" s="21"/>
      <c r="D28" s="74"/>
      <c r="E28" s="21"/>
      <c r="F28" s="21"/>
      <c r="G28" s="21"/>
      <c r="H28" s="22"/>
      <c r="I28" s="22"/>
      <c r="J28" s="22"/>
      <c r="K28" s="23"/>
    </row>
    <row r="29" spans="1:12" ht="5.0999999999999996" customHeight="1" x14ac:dyDescent="0.25">
      <c r="A29" s="47"/>
      <c r="B29" s="24"/>
      <c r="C29" s="24"/>
      <c r="D29" s="71"/>
      <c r="E29" s="24"/>
      <c r="F29" s="24"/>
      <c r="G29" s="24"/>
      <c r="H29" s="24"/>
      <c r="I29" s="24"/>
      <c r="J29" s="24"/>
      <c r="K29" s="24"/>
    </row>
    <row r="30" spans="1:12" x14ac:dyDescent="0.3">
      <c r="A30" s="66" t="s">
        <v>68</v>
      </c>
      <c r="B30" s="1" t="s">
        <v>4</v>
      </c>
      <c r="C30" s="107" t="s">
        <v>246</v>
      </c>
      <c r="D30" s="52">
        <v>3300007923</v>
      </c>
      <c r="E30" s="5">
        <v>60</v>
      </c>
      <c r="F30" s="6" t="s">
        <v>20</v>
      </c>
      <c r="G30" s="7">
        <v>43062</v>
      </c>
      <c r="H30" s="9">
        <v>307.64506</v>
      </c>
      <c r="I30" s="8">
        <v>505</v>
      </c>
      <c r="J30" s="55">
        <f>+I30*H30</f>
        <v>155360.75529999999</v>
      </c>
      <c r="K30" s="106">
        <v>43006</v>
      </c>
      <c r="L30" s="10" t="s">
        <v>406</v>
      </c>
    </row>
    <row r="31" spans="1:12" ht="18.75" x14ac:dyDescent="0.3">
      <c r="A31" s="531" t="s">
        <v>91</v>
      </c>
      <c r="B31" s="532"/>
      <c r="C31" s="13"/>
      <c r="D31" s="72"/>
      <c r="E31" s="13"/>
      <c r="F31" s="13"/>
      <c r="G31" s="13"/>
      <c r="H31" s="13"/>
      <c r="I31" s="13"/>
      <c r="J31" s="13"/>
      <c r="K31" s="14"/>
    </row>
    <row r="32" spans="1:12" x14ac:dyDescent="0.3">
      <c r="A32" s="49"/>
      <c r="B32" s="17" t="s">
        <v>76</v>
      </c>
      <c r="C32" s="37" t="s">
        <v>476</v>
      </c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78</v>
      </c>
      <c r="C33" s="37" t="s">
        <v>477</v>
      </c>
      <c r="D33" s="73"/>
      <c r="E33" s="37"/>
      <c r="F33" s="37"/>
      <c r="G33" s="37"/>
      <c r="H33" s="18"/>
      <c r="I33" s="59"/>
      <c r="J33" s="18"/>
      <c r="K33" s="19"/>
    </row>
    <row r="34" spans="1:12" x14ac:dyDescent="0.3">
      <c r="A34" s="49"/>
      <c r="B34" s="56" t="s">
        <v>98</v>
      </c>
      <c r="C34" s="44" t="s">
        <v>478</v>
      </c>
      <c r="D34" s="73"/>
      <c r="E34" s="37"/>
      <c r="F34" s="37"/>
      <c r="G34" s="37"/>
      <c r="H34" s="18"/>
      <c r="I34" s="18"/>
      <c r="J34" s="18"/>
      <c r="K34" s="19"/>
      <c r="L34" s="108"/>
    </row>
    <row r="35" spans="1:12" x14ac:dyDescent="0.3">
      <c r="A35" s="49"/>
      <c r="B35" s="17" t="s">
        <v>169</v>
      </c>
      <c r="C35" s="45" t="s">
        <v>479</v>
      </c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85</v>
      </c>
      <c r="C36" s="44" t="s">
        <v>480</v>
      </c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50"/>
      <c r="B37" s="21"/>
      <c r="C37" s="21"/>
      <c r="D37" s="74"/>
      <c r="E37" s="21"/>
      <c r="F37" s="21"/>
      <c r="G37" s="21"/>
      <c r="H37" s="22"/>
      <c r="I37" s="22"/>
      <c r="J37" s="22"/>
      <c r="K37" s="23"/>
    </row>
    <row r="38" spans="1:12" ht="5.0999999999999996" customHeight="1" x14ac:dyDescent="0.3">
      <c r="A38" s="47"/>
      <c r="B38" s="24"/>
      <c r="C38" s="24"/>
      <c r="D38" s="71"/>
      <c r="E38" s="24"/>
      <c r="F38" s="24"/>
      <c r="G38" s="24"/>
      <c r="H38" s="24"/>
      <c r="I38" s="24"/>
      <c r="J38" s="24"/>
      <c r="K38" s="24"/>
    </row>
    <row r="39" spans="1:12" x14ac:dyDescent="0.3">
      <c r="A39" s="66" t="s">
        <v>66</v>
      </c>
      <c r="B39" s="1" t="s">
        <v>35</v>
      </c>
      <c r="C39" s="107" t="s">
        <v>15</v>
      </c>
      <c r="D39" s="52" t="s">
        <v>481</v>
      </c>
      <c r="E39" s="5" t="s">
        <v>5</v>
      </c>
      <c r="F39" s="6"/>
      <c r="G39" s="7">
        <v>43062</v>
      </c>
      <c r="H39" s="9">
        <v>200</v>
      </c>
      <c r="I39" s="8">
        <v>653</v>
      </c>
      <c r="J39" s="55">
        <v>130600</v>
      </c>
      <c r="K39" s="106">
        <v>43035</v>
      </c>
      <c r="L39" s="10" t="s">
        <v>406</v>
      </c>
    </row>
    <row r="40" spans="1:12" ht="18" x14ac:dyDescent="0.35">
      <c r="A40" s="531" t="s">
        <v>91</v>
      </c>
      <c r="B40" s="532"/>
      <c r="C40" s="13"/>
      <c r="D40" s="72"/>
      <c r="E40" s="13"/>
      <c r="F40" s="13"/>
      <c r="G40" s="13"/>
      <c r="H40" s="13"/>
      <c r="I40" s="13"/>
      <c r="J40" s="13"/>
      <c r="K40" s="14"/>
    </row>
    <row r="41" spans="1:12" x14ac:dyDescent="0.3">
      <c r="A41" s="49"/>
      <c r="B41" s="17" t="s">
        <v>76</v>
      </c>
      <c r="C41" s="37" t="s">
        <v>15</v>
      </c>
      <c r="D41" s="73"/>
      <c r="E41" s="37"/>
      <c r="F41" s="37"/>
      <c r="G41" s="37"/>
      <c r="H41" s="18"/>
      <c r="I41" s="18"/>
      <c r="J41" s="18"/>
      <c r="K41" s="19"/>
    </row>
    <row r="42" spans="1:12" x14ac:dyDescent="0.3">
      <c r="A42" s="49"/>
      <c r="B42" s="17" t="s">
        <v>78</v>
      </c>
      <c r="C42" s="37" t="s">
        <v>227</v>
      </c>
      <c r="D42" s="73"/>
      <c r="E42" s="37"/>
      <c r="F42" s="37"/>
      <c r="G42" s="37"/>
      <c r="H42" s="18"/>
      <c r="I42" s="59"/>
      <c r="J42" s="18"/>
      <c r="K42" s="19"/>
    </row>
    <row r="43" spans="1:12" x14ac:dyDescent="0.3">
      <c r="A43" s="49"/>
      <c r="B43" s="56" t="s">
        <v>98</v>
      </c>
      <c r="C43" s="45" t="s">
        <v>387</v>
      </c>
      <c r="D43" s="73"/>
      <c r="E43" s="37"/>
      <c r="F43" s="37"/>
      <c r="G43" s="37"/>
      <c r="H43" s="18"/>
      <c r="I43" s="18"/>
      <c r="J43" s="18"/>
      <c r="K43" s="19"/>
      <c r="L43" s="108"/>
    </row>
    <row r="44" spans="1:12" x14ac:dyDescent="0.3">
      <c r="A44" s="49"/>
      <c r="B44" s="17" t="s">
        <v>78</v>
      </c>
      <c r="C44" s="17" t="s">
        <v>388</v>
      </c>
      <c r="D44" s="73"/>
      <c r="E44" s="37"/>
      <c r="F44" s="37"/>
      <c r="G44" s="37"/>
      <c r="H44" s="18"/>
      <c r="I44" s="18"/>
      <c r="J44" s="18"/>
      <c r="K44" s="19"/>
    </row>
    <row r="45" spans="1:12" x14ac:dyDescent="0.3">
      <c r="A45" s="49"/>
      <c r="B45" s="17" t="s">
        <v>81</v>
      </c>
      <c r="C45" s="45" t="s">
        <v>389</v>
      </c>
      <c r="D45" s="73"/>
      <c r="E45" s="37"/>
      <c r="F45" s="37"/>
      <c r="G45" s="37"/>
      <c r="H45" s="18"/>
      <c r="I45" s="18"/>
      <c r="J45" s="18"/>
      <c r="K45" s="19"/>
    </row>
    <row r="46" spans="1:12" x14ac:dyDescent="0.3">
      <c r="A46" s="49"/>
      <c r="B46" s="17" t="s">
        <v>169</v>
      </c>
      <c r="C46" s="45" t="s">
        <v>390</v>
      </c>
      <c r="D46" s="73"/>
      <c r="E46" s="37"/>
      <c r="F46" s="37"/>
      <c r="G46" s="37"/>
      <c r="H46" s="18"/>
      <c r="I46" s="18"/>
      <c r="J46" s="18"/>
      <c r="K46" s="19"/>
    </row>
    <row r="47" spans="1:12" x14ac:dyDescent="0.3">
      <c r="A47" s="49"/>
      <c r="B47" s="17" t="s">
        <v>85</v>
      </c>
      <c r="C47" s="45" t="s">
        <v>391</v>
      </c>
      <c r="D47" s="73"/>
      <c r="E47" s="37"/>
      <c r="F47" s="37"/>
      <c r="G47" s="37"/>
      <c r="H47" s="18"/>
      <c r="I47" s="18"/>
      <c r="J47" s="18"/>
      <c r="K47" s="19"/>
    </row>
    <row r="48" spans="1:12" x14ac:dyDescent="0.3">
      <c r="A48" s="50"/>
      <c r="B48" s="21"/>
      <c r="C48" s="111"/>
      <c r="D48" s="74"/>
      <c r="E48" s="38"/>
      <c r="F48" s="38"/>
      <c r="G48" s="38"/>
      <c r="H48" s="22"/>
      <c r="I48" s="22"/>
      <c r="J48" s="22"/>
      <c r="K48" s="23"/>
    </row>
  </sheetData>
  <mergeCells count="5">
    <mergeCell ref="L1:P1"/>
    <mergeCell ref="A31:B31"/>
    <mergeCell ref="A40:B40"/>
    <mergeCell ref="A7:B7"/>
    <mergeCell ref="A20:B20"/>
  </mergeCells>
  <conditionalFormatting sqref="G5">
    <cfRule type="cellIs" dxfId="1795" priority="13" operator="between">
      <formula>TODAY()</formula>
      <formula>TODAY()+10</formula>
    </cfRule>
  </conditionalFormatting>
  <conditionalFormatting sqref="G3">
    <cfRule type="cellIs" dxfId="1794" priority="10" operator="between">
      <formula>TODAY()</formula>
      <formula>TODAY()+10</formula>
    </cfRule>
  </conditionalFormatting>
  <conditionalFormatting sqref="G6">
    <cfRule type="cellIs" dxfId="1793" priority="6" operator="between">
      <formula>TODAY()</formula>
      <formula>TODAY()+10</formula>
    </cfRule>
  </conditionalFormatting>
  <conditionalFormatting sqref="G4">
    <cfRule type="cellIs" dxfId="1792" priority="4" operator="between">
      <formula>TODAY()</formula>
      <formula>TODAY()+10</formula>
    </cfRule>
  </conditionalFormatting>
  <conditionalFormatting sqref="G19 G30 G39">
    <cfRule type="cellIs" dxfId="1791" priority="1" operator="between">
      <formula>TODAY()</formula>
      <formula>TODAY()+10</formula>
    </cfRule>
  </conditionalFormatting>
  <dataValidations count="2">
    <dataValidation type="list" allowBlank="1" showInputMessage="1" showErrorMessage="1" sqref="E4 E19:E28 E30 E39">
      <formula1>PLAZOdePAGO</formula1>
    </dataValidation>
    <dataValidation type="list" allowBlank="1" showInputMessage="1" showErrorMessage="1" sqref="F19:F28 F30 F39">
      <formula1>PLAZOdePAGO2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showGridLines="0" workbookViewId="0">
      <selection activeCell="A3" sqref="A3:XFD8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x14ac:dyDescent="0.3">
      <c r="A2" s="66" t="s">
        <v>69</v>
      </c>
      <c r="B2" s="1" t="s">
        <v>279</v>
      </c>
      <c r="C2" s="107" t="s">
        <v>280</v>
      </c>
      <c r="D2" s="7" t="s">
        <v>286</v>
      </c>
      <c r="E2" s="5">
        <v>60</v>
      </c>
      <c r="F2" s="6" t="s">
        <v>20</v>
      </c>
      <c r="G2" s="7">
        <v>43066</v>
      </c>
      <c r="H2" s="9">
        <v>199.5</v>
      </c>
      <c r="I2" s="8">
        <v>165</v>
      </c>
      <c r="J2" s="55">
        <v>32917.5</v>
      </c>
      <c r="K2" s="106">
        <v>43008</v>
      </c>
      <c r="L2" s="10" t="s">
        <v>406</v>
      </c>
    </row>
    <row r="3" spans="1:16" ht="18.75" x14ac:dyDescent="0.3">
      <c r="A3" s="531" t="s">
        <v>91</v>
      </c>
      <c r="B3" s="532"/>
      <c r="C3" s="13"/>
      <c r="D3" s="72"/>
      <c r="E3" s="13"/>
      <c r="F3" s="13"/>
      <c r="G3" s="13"/>
      <c r="H3" s="13"/>
      <c r="I3" s="13"/>
      <c r="J3" s="13"/>
      <c r="K3" s="14"/>
    </row>
    <row r="4" spans="1:16" x14ac:dyDescent="0.3">
      <c r="A4" s="49"/>
      <c r="B4" s="17" t="s">
        <v>76</v>
      </c>
      <c r="C4" s="37" t="s">
        <v>489</v>
      </c>
      <c r="D4" s="73"/>
      <c r="E4" s="37"/>
      <c r="F4" s="37"/>
      <c r="G4" s="37"/>
      <c r="H4" s="18"/>
      <c r="I4" s="18"/>
      <c r="J4" s="18"/>
      <c r="K4" s="19"/>
    </row>
    <row r="5" spans="1:16" x14ac:dyDescent="0.3">
      <c r="A5" s="49"/>
      <c r="B5" s="56" t="s">
        <v>98</v>
      </c>
      <c r="C5" s="37" t="s">
        <v>490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491</v>
      </c>
      <c r="C6" s="44" t="s">
        <v>492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85</v>
      </c>
      <c r="C7" s="37" t="s">
        <v>493</v>
      </c>
      <c r="D7" s="73"/>
      <c r="E7" s="37"/>
      <c r="F7" s="37"/>
      <c r="G7" s="37"/>
      <c r="H7" s="18"/>
      <c r="I7" s="18"/>
      <c r="J7" s="18"/>
      <c r="K7" s="19"/>
    </row>
    <row r="8" spans="1:16" ht="15" x14ac:dyDescent="0.25">
      <c r="A8" s="50"/>
      <c r="B8" s="21"/>
      <c r="C8" s="21"/>
      <c r="D8" s="74"/>
      <c r="E8" s="21"/>
      <c r="F8" s="21"/>
      <c r="G8" s="21"/>
      <c r="H8" s="22"/>
      <c r="I8" s="22"/>
      <c r="J8" s="22"/>
      <c r="K8" s="23"/>
    </row>
  </sheetData>
  <mergeCells count="2">
    <mergeCell ref="L1:P1"/>
    <mergeCell ref="A3:B3"/>
  </mergeCells>
  <conditionalFormatting sqref="G2">
    <cfRule type="cellIs" dxfId="1790" priority="1" operator="between">
      <formula>TODAY()</formula>
      <formula>TODAY()+10</formula>
    </cfRule>
  </conditionalFormatting>
  <dataValidations count="2">
    <dataValidation type="list" allowBlank="1" showInputMessage="1" showErrorMessage="1" sqref="E2:E8">
      <formula1>PLAZOdePAGO</formula1>
    </dataValidation>
    <dataValidation type="list" allowBlank="1" showInputMessage="1" showErrorMessage="1" sqref="F2:F8">
      <formula1>PLAZOdePAGO2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workbookViewId="0">
      <selection activeCell="A16" sqref="A16:K24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66" t="s">
        <v>48</v>
      </c>
      <c r="B3" s="1" t="s">
        <v>6</v>
      </c>
      <c r="C3" s="107" t="s">
        <v>7</v>
      </c>
      <c r="D3" s="79">
        <v>20171109</v>
      </c>
      <c r="E3" s="5">
        <v>90</v>
      </c>
      <c r="F3" s="6" t="s">
        <v>20</v>
      </c>
      <c r="G3" s="7">
        <v>43073</v>
      </c>
      <c r="H3" s="9">
        <v>250</v>
      </c>
      <c r="I3" s="8">
        <v>505</v>
      </c>
      <c r="J3" s="55">
        <f>+I3*H3</f>
        <v>126250</v>
      </c>
      <c r="K3" s="106">
        <v>42983</v>
      </c>
      <c r="L3" s="10" t="s">
        <v>499</v>
      </c>
    </row>
    <row r="4" spans="1:16" ht="18.75" x14ac:dyDescent="0.3">
      <c r="A4" s="531" t="s">
        <v>91</v>
      </c>
      <c r="B4" s="532"/>
      <c r="C4" s="13"/>
      <c r="D4" s="13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/>
      <c r="D5" s="37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/>
      <c r="D6" s="37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/>
      <c r="D7" s="37"/>
      <c r="E7" s="37"/>
      <c r="F7" s="37"/>
      <c r="G7" s="37"/>
      <c r="H7" s="18"/>
      <c r="I7" s="18"/>
      <c r="J7" s="18"/>
      <c r="K7" s="19"/>
    </row>
    <row r="8" spans="1:16" ht="15" x14ac:dyDescent="0.25">
      <c r="A8" s="49"/>
      <c r="B8" s="17" t="s">
        <v>169</v>
      </c>
      <c r="C8" s="17"/>
      <c r="D8" s="37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44"/>
      <c r="D9" s="37"/>
      <c r="E9" s="37"/>
      <c r="F9" s="37"/>
      <c r="G9" s="37"/>
      <c r="H9" s="18"/>
      <c r="I9" s="18"/>
      <c r="J9" s="18"/>
      <c r="K9" s="19"/>
    </row>
    <row r="10" spans="1:16" ht="15" x14ac:dyDescent="0.25">
      <c r="A10" s="5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6" ht="4.5" customHeight="1" x14ac:dyDescent="0.25">
      <c r="A11" s="47"/>
      <c r="B11" s="24"/>
      <c r="C11" s="24"/>
      <c r="D11" s="71"/>
      <c r="E11" s="24"/>
      <c r="F11" s="24"/>
      <c r="G11" s="24"/>
      <c r="H11" s="24"/>
      <c r="I11" s="24"/>
      <c r="J11" s="24"/>
      <c r="K11" s="24"/>
    </row>
    <row r="12" spans="1:16" x14ac:dyDescent="0.3">
      <c r="A12" s="66" t="s">
        <v>233</v>
      </c>
      <c r="B12" s="1" t="s">
        <v>241</v>
      </c>
      <c r="C12" s="107" t="s">
        <v>42</v>
      </c>
      <c r="D12" s="52">
        <v>300002291</v>
      </c>
      <c r="E12" s="67">
        <v>90</v>
      </c>
      <c r="F12" s="105" t="s">
        <v>20</v>
      </c>
      <c r="G12" s="106">
        <v>43076</v>
      </c>
      <c r="H12" s="9">
        <v>195.84</v>
      </c>
      <c r="I12" s="8">
        <v>280</v>
      </c>
      <c r="J12" s="55">
        <v>54835.200000000004</v>
      </c>
      <c r="K12" s="106">
        <v>42983</v>
      </c>
      <c r="L12" s="10" t="s">
        <v>406</v>
      </c>
    </row>
    <row r="13" spans="1:16" x14ac:dyDescent="0.3">
      <c r="A13" s="66" t="s">
        <v>234</v>
      </c>
      <c r="B13" s="1" t="s">
        <v>241</v>
      </c>
      <c r="C13" s="107" t="s">
        <v>42</v>
      </c>
      <c r="D13" s="52">
        <v>300002290</v>
      </c>
      <c r="E13" s="67">
        <v>90</v>
      </c>
      <c r="F13" s="105" t="s">
        <v>20</v>
      </c>
      <c r="G13" s="106">
        <v>43076</v>
      </c>
      <c r="H13" s="9">
        <v>111.86</v>
      </c>
      <c r="I13" s="8">
        <v>280</v>
      </c>
      <c r="J13" s="55">
        <v>31320.799999999999</v>
      </c>
      <c r="K13" s="106">
        <v>42983</v>
      </c>
      <c r="L13" s="10" t="s">
        <v>406</v>
      </c>
    </row>
    <row r="14" spans="1:16" x14ac:dyDescent="0.3">
      <c r="A14" s="66" t="s">
        <v>235</v>
      </c>
      <c r="B14" s="1" t="s">
        <v>242</v>
      </c>
      <c r="C14" s="107" t="s">
        <v>42</v>
      </c>
      <c r="D14" s="52">
        <v>300002289</v>
      </c>
      <c r="E14" s="67">
        <v>90</v>
      </c>
      <c r="F14" s="105" t="s">
        <v>20</v>
      </c>
      <c r="G14" s="106">
        <v>43076</v>
      </c>
      <c r="H14" s="9">
        <v>27.94</v>
      </c>
      <c r="I14" s="8">
        <v>270</v>
      </c>
      <c r="J14" s="55">
        <v>7543.8</v>
      </c>
      <c r="K14" s="106">
        <v>42983</v>
      </c>
      <c r="L14" s="10" t="s">
        <v>406</v>
      </c>
    </row>
    <row r="15" spans="1:16" x14ac:dyDescent="0.3">
      <c r="A15" s="66" t="s">
        <v>236</v>
      </c>
      <c r="B15" s="1" t="s">
        <v>242</v>
      </c>
      <c r="C15" s="107" t="s">
        <v>42</v>
      </c>
      <c r="D15" s="52">
        <v>300002365</v>
      </c>
      <c r="E15" s="67">
        <v>90</v>
      </c>
      <c r="F15" s="105" t="s">
        <v>20</v>
      </c>
      <c r="G15" s="106">
        <v>43076</v>
      </c>
      <c r="H15" s="9">
        <v>28</v>
      </c>
      <c r="I15" s="8">
        <v>270</v>
      </c>
      <c r="J15" s="55">
        <v>7560</v>
      </c>
      <c r="K15" s="106">
        <v>42990</v>
      </c>
      <c r="L15" s="112" t="s">
        <v>406</v>
      </c>
    </row>
    <row r="16" spans="1:16" ht="18.75" x14ac:dyDescent="0.3">
      <c r="A16" s="531" t="s">
        <v>91</v>
      </c>
      <c r="B16" s="532"/>
      <c r="C16" s="13"/>
      <c r="D16" s="72"/>
      <c r="E16" s="13"/>
      <c r="F16" s="13"/>
      <c r="G16" s="13"/>
      <c r="H16" s="13"/>
      <c r="I16" s="13"/>
      <c r="J16" s="13"/>
      <c r="K16" s="14"/>
    </row>
    <row r="17" spans="1:11" x14ac:dyDescent="0.3">
      <c r="A17" s="49"/>
      <c r="B17" s="17" t="s">
        <v>76</v>
      </c>
      <c r="C17" s="37" t="s">
        <v>42</v>
      </c>
      <c r="D17" s="73"/>
      <c r="E17" s="37"/>
      <c r="F17" s="37"/>
      <c r="G17" s="37"/>
      <c r="H17" s="18"/>
      <c r="I17" s="18"/>
      <c r="J17" s="18"/>
      <c r="K17" s="19"/>
    </row>
    <row r="18" spans="1:11" x14ac:dyDescent="0.3">
      <c r="A18" s="49"/>
      <c r="B18" s="17" t="s">
        <v>78</v>
      </c>
      <c r="C18" s="37" t="s">
        <v>119</v>
      </c>
      <c r="D18" s="73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81</v>
      </c>
      <c r="C19" s="37" t="s">
        <v>117</v>
      </c>
      <c r="D19" s="73"/>
      <c r="E19" s="37"/>
      <c r="F19" s="37"/>
      <c r="G19" s="37"/>
      <c r="H19" s="18"/>
      <c r="I19" s="18"/>
      <c r="J19" s="18"/>
      <c r="K19" s="19"/>
    </row>
    <row r="20" spans="1:11" x14ac:dyDescent="0.3">
      <c r="A20" s="49"/>
      <c r="B20" s="17" t="s">
        <v>98</v>
      </c>
      <c r="C20" s="44" t="s">
        <v>118</v>
      </c>
      <c r="D20" s="73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17" t="s">
        <v>83</v>
      </c>
      <c r="C21" s="37" t="s">
        <v>116</v>
      </c>
      <c r="D21" s="73"/>
      <c r="E21" s="37"/>
      <c r="F21" s="37"/>
      <c r="G21" s="37"/>
      <c r="H21" s="18"/>
      <c r="I21" s="18"/>
      <c r="J21" s="18"/>
      <c r="K21" s="19"/>
    </row>
    <row r="22" spans="1:11" x14ac:dyDescent="0.3">
      <c r="A22" s="49"/>
      <c r="B22" s="17" t="s">
        <v>84</v>
      </c>
      <c r="C22" s="37" t="s">
        <v>114</v>
      </c>
      <c r="D22" s="73"/>
      <c r="E22" s="37"/>
      <c r="F22" s="37"/>
      <c r="G22" s="37"/>
      <c r="H22" s="18"/>
      <c r="I22" s="18"/>
      <c r="J22" s="18"/>
      <c r="K22" s="19"/>
    </row>
    <row r="23" spans="1:11" x14ac:dyDescent="0.3">
      <c r="A23" s="49"/>
      <c r="B23" s="17" t="s">
        <v>85</v>
      </c>
      <c r="C23" s="37" t="s">
        <v>115</v>
      </c>
      <c r="D23" s="73"/>
      <c r="E23" s="37"/>
      <c r="F23" s="37"/>
      <c r="G23" s="37"/>
      <c r="H23" s="18"/>
      <c r="I23" s="18"/>
      <c r="J23" s="18"/>
      <c r="K23" s="19"/>
    </row>
    <row r="24" spans="1:11" ht="15" x14ac:dyDescent="0.25">
      <c r="A24" s="50"/>
      <c r="B24" s="21"/>
      <c r="C24" s="21"/>
      <c r="D24" s="74"/>
      <c r="E24" s="21"/>
      <c r="F24" s="21"/>
      <c r="G24" s="21"/>
      <c r="H24" s="22"/>
      <c r="I24" s="22"/>
      <c r="J24" s="22"/>
      <c r="K24" s="23"/>
    </row>
  </sheetData>
  <mergeCells count="3">
    <mergeCell ref="L1:P1"/>
    <mergeCell ref="A4:B4"/>
    <mergeCell ref="A16:B16"/>
  </mergeCells>
  <conditionalFormatting sqref="G12:G15">
    <cfRule type="cellIs" dxfId="1789" priority="8" operator="between">
      <formula>TODAY()</formula>
      <formula>TODAY()+10</formula>
    </cfRule>
  </conditionalFormatting>
  <conditionalFormatting sqref="G3">
    <cfRule type="cellIs" dxfId="1788" priority="6" operator="between">
      <formula>TODAY()</formula>
      <formula>TODAY()+10</formula>
    </cfRule>
  </conditionalFormatting>
  <dataValidations count="2">
    <dataValidation type="list" allowBlank="1" showInputMessage="1" showErrorMessage="1" sqref="F12:F24">
      <formula1>PLAZOdePAGO2</formula1>
    </dataValidation>
    <dataValidation type="list" allowBlank="1" showInputMessage="1" showErrorMessage="1" sqref="E12:E24">
      <formula1>PLAZOdePAGO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workbookViewId="0">
      <selection activeCell="C47" sqref="C47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353</v>
      </c>
      <c r="B3" s="1" t="s">
        <v>6</v>
      </c>
      <c r="C3" s="107" t="s">
        <v>7</v>
      </c>
      <c r="D3" s="52" t="s">
        <v>524</v>
      </c>
      <c r="E3" s="67" t="s">
        <v>5</v>
      </c>
      <c r="F3" s="105"/>
      <c r="G3" s="106">
        <v>43083</v>
      </c>
      <c r="H3" s="9">
        <v>1500</v>
      </c>
      <c r="I3" s="8">
        <v>505</v>
      </c>
      <c r="J3" s="55">
        <f>+H3*I3</f>
        <v>757500</v>
      </c>
      <c r="K3" s="106">
        <v>43054</v>
      </c>
    </row>
    <row r="4" spans="1:16" ht="18.75" x14ac:dyDescent="0.3">
      <c r="A4" s="531" t="s">
        <v>91</v>
      </c>
      <c r="B4" s="532"/>
      <c r="C4" s="13"/>
      <c r="D4" s="13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92</v>
      </c>
      <c r="D5" s="37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98</v>
      </c>
      <c r="C6" s="45" t="s">
        <v>102</v>
      </c>
      <c r="D6" s="37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81</v>
      </c>
      <c r="C7" s="45" t="s">
        <v>424</v>
      </c>
      <c r="D7" s="37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85</v>
      </c>
      <c r="C8" s="45" t="s">
        <v>104</v>
      </c>
      <c r="D8" s="37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17" t="s">
        <v>412</v>
      </c>
      <c r="D9" s="37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165</v>
      </c>
      <c r="C10" s="45" t="s">
        <v>107</v>
      </c>
      <c r="D10" s="37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5" t="s">
        <v>108</v>
      </c>
      <c r="D11" s="37"/>
      <c r="E11" s="37"/>
      <c r="F11" s="37"/>
      <c r="G11" s="37"/>
      <c r="H11" s="18"/>
      <c r="I11" s="18"/>
      <c r="J11" s="18"/>
      <c r="K11" s="19"/>
    </row>
    <row r="12" spans="1:16" ht="15" x14ac:dyDescent="0.25">
      <c r="A12" s="49"/>
      <c r="B12" s="17" t="s">
        <v>121</v>
      </c>
      <c r="C12" s="17" t="s">
        <v>525</v>
      </c>
      <c r="D12" s="37"/>
      <c r="E12" s="37"/>
      <c r="F12" s="37"/>
      <c r="G12" s="37"/>
      <c r="H12" s="18"/>
      <c r="I12" s="18"/>
      <c r="J12" s="18"/>
      <c r="K12" s="19"/>
    </row>
    <row r="13" spans="1:16" ht="15" x14ac:dyDescent="0.25">
      <c r="A13" s="5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6" ht="3.75" customHeight="1" x14ac:dyDescent="0.25">
      <c r="A14" s="47"/>
      <c r="B14" s="24"/>
      <c r="C14" s="24"/>
      <c r="D14" s="71"/>
      <c r="E14" s="24"/>
      <c r="F14" s="24"/>
      <c r="G14" s="24"/>
      <c r="H14" s="24"/>
      <c r="I14" s="24"/>
      <c r="J14" s="24"/>
      <c r="K14" s="24"/>
    </row>
    <row r="15" spans="1:16" ht="15" x14ac:dyDescent="0.25">
      <c r="A15" s="66" t="s">
        <v>444</v>
      </c>
      <c r="B15" s="1" t="s">
        <v>56</v>
      </c>
      <c r="C15" s="107" t="s">
        <v>50</v>
      </c>
      <c r="D15" s="52" t="s">
        <v>527</v>
      </c>
      <c r="E15" s="67" t="s">
        <v>5</v>
      </c>
      <c r="F15" s="105"/>
      <c r="G15" s="106">
        <v>43083</v>
      </c>
      <c r="H15" s="9">
        <v>312</v>
      </c>
      <c r="I15" s="8">
        <v>320</v>
      </c>
      <c r="J15" s="55">
        <f>+H15*I15</f>
        <v>99840</v>
      </c>
      <c r="K15" s="106">
        <v>43084</v>
      </c>
    </row>
    <row r="16" spans="1:16" ht="18.75" x14ac:dyDescent="0.3">
      <c r="A16" s="531" t="s">
        <v>91</v>
      </c>
      <c r="B16" s="532"/>
      <c r="C16" s="13"/>
      <c r="D16" s="13"/>
      <c r="E16" s="13"/>
      <c r="F16" s="13"/>
      <c r="G16" s="13"/>
      <c r="H16" s="13"/>
      <c r="I16" s="13"/>
      <c r="J16" s="13"/>
      <c r="K16" s="14"/>
    </row>
    <row r="17" spans="1:15" x14ac:dyDescent="0.3">
      <c r="A17" s="49"/>
      <c r="B17" s="17" t="s">
        <v>76</v>
      </c>
      <c r="C17" s="37" t="s">
        <v>192</v>
      </c>
      <c r="D17" s="37"/>
      <c r="E17" s="37"/>
      <c r="F17" s="37"/>
      <c r="G17" s="37"/>
      <c r="H17" s="18"/>
      <c r="I17" s="18"/>
      <c r="J17" s="18"/>
      <c r="K17" s="19"/>
    </row>
    <row r="18" spans="1:15" x14ac:dyDescent="0.3">
      <c r="A18" s="49"/>
      <c r="B18" s="17" t="s">
        <v>78</v>
      </c>
      <c r="C18" s="37" t="s">
        <v>193</v>
      </c>
      <c r="D18" s="37"/>
      <c r="E18" s="37"/>
      <c r="F18" s="37"/>
      <c r="G18" s="37"/>
      <c r="H18" s="18"/>
      <c r="I18" s="59"/>
      <c r="J18" s="18"/>
      <c r="K18" s="19"/>
    </row>
    <row r="19" spans="1:15" x14ac:dyDescent="0.3">
      <c r="A19" s="49"/>
      <c r="B19" s="56" t="s">
        <v>98</v>
      </c>
      <c r="C19" s="45" t="s">
        <v>194</v>
      </c>
      <c r="D19" s="37"/>
      <c r="E19" s="37"/>
      <c r="F19" s="37"/>
      <c r="G19" s="37"/>
      <c r="H19" s="18"/>
      <c r="I19" s="18"/>
      <c r="J19" s="18"/>
      <c r="K19" s="19"/>
    </row>
    <row r="20" spans="1:15" ht="15" x14ac:dyDescent="0.25">
      <c r="A20" s="49"/>
      <c r="B20" s="17" t="s">
        <v>169</v>
      </c>
      <c r="C20" s="17" t="s">
        <v>196</v>
      </c>
      <c r="D20" s="37"/>
      <c r="E20" s="37"/>
      <c r="F20" s="37"/>
      <c r="G20" s="37"/>
      <c r="H20" s="18"/>
      <c r="I20" s="18"/>
      <c r="J20" s="18"/>
      <c r="K20" s="19"/>
    </row>
    <row r="21" spans="1:15" x14ac:dyDescent="0.3">
      <c r="A21" s="49"/>
      <c r="B21" s="17" t="s">
        <v>85</v>
      </c>
      <c r="C21" s="44" t="s">
        <v>195</v>
      </c>
      <c r="D21" s="37"/>
      <c r="E21" s="37"/>
      <c r="F21" s="37"/>
      <c r="G21" s="37"/>
      <c r="H21" s="18"/>
      <c r="I21" s="18"/>
      <c r="J21" s="18"/>
      <c r="K21" s="19"/>
    </row>
    <row r="22" spans="1:15" x14ac:dyDescent="0.3">
      <c r="A22" s="49"/>
      <c r="B22" s="56" t="s">
        <v>165</v>
      </c>
      <c r="C22" s="45" t="s">
        <v>197</v>
      </c>
      <c r="D22" s="37"/>
      <c r="E22" s="37"/>
      <c r="F22" s="37"/>
      <c r="G22" s="37"/>
      <c r="H22" s="18"/>
      <c r="I22" s="18"/>
      <c r="J22" s="18"/>
      <c r="K22" s="19"/>
    </row>
    <row r="23" spans="1:15" x14ac:dyDescent="0.3">
      <c r="A23" s="49"/>
      <c r="B23" s="17" t="s">
        <v>85</v>
      </c>
      <c r="C23" s="45" t="s">
        <v>199</v>
      </c>
      <c r="D23" s="37"/>
      <c r="E23" s="37"/>
      <c r="F23" s="37"/>
      <c r="G23" s="37"/>
      <c r="H23" s="18"/>
      <c r="I23" s="18"/>
      <c r="J23" s="18"/>
      <c r="K23" s="19"/>
    </row>
    <row r="24" spans="1:15" x14ac:dyDescent="0.3">
      <c r="A24" s="49"/>
      <c r="B24" s="56" t="s">
        <v>198</v>
      </c>
      <c r="C24" s="45" t="s">
        <v>200</v>
      </c>
      <c r="D24" s="37"/>
      <c r="E24" s="37"/>
      <c r="F24" s="37"/>
      <c r="G24" s="37"/>
      <c r="H24" s="18"/>
      <c r="I24" s="18"/>
      <c r="J24" s="18"/>
      <c r="K24" s="19"/>
    </row>
    <row r="25" spans="1:15" x14ac:dyDescent="0.3">
      <c r="A25" s="49"/>
      <c r="B25" s="17" t="s">
        <v>85</v>
      </c>
      <c r="C25" s="45" t="s">
        <v>201</v>
      </c>
      <c r="D25" s="37"/>
      <c r="E25" s="37"/>
      <c r="F25" s="37"/>
      <c r="G25" s="37"/>
      <c r="H25" s="18"/>
      <c r="I25" s="18"/>
      <c r="J25" s="18"/>
      <c r="K25" s="19"/>
    </row>
    <row r="26" spans="1:15" ht="15" x14ac:dyDescent="0.25">
      <c r="A26" s="5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5" ht="4.5" hidden="1" customHeight="1" x14ac:dyDescent="0.25">
      <c r="A27" s="47"/>
      <c r="B27" s="24"/>
      <c r="C27" s="24"/>
      <c r="D27" s="71"/>
      <c r="E27" s="24"/>
      <c r="F27" s="24"/>
      <c r="G27" s="24"/>
      <c r="H27" s="24"/>
      <c r="I27" s="24"/>
      <c r="J27" s="24"/>
      <c r="K27" s="24"/>
    </row>
    <row r="28" spans="1:15" ht="15" hidden="1" x14ac:dyDescent="0.25">
      <c r="A28" s="66" t="s">
        <v>442</v>
      </c>
      <c r="B28" s="1" t="s">
        <v>448</v>
      </c>
      <c r="C28" s="107" t="s">
        <v>512</v>
      </c>
      <c r="D28" s="52"/>
      <c r="E28" s="67" t="s">
        <v>5</v>
      </c>
      <c r="F28" s="105"/>
      <c r="G28" s="106">
        <v>43083</v>
      </c>
      <c r="H28" s="9">
        <v>3750</v>
      </c>
      <c r="I28" s="8">
        <f>284.5-49.5</f>
        <v>235</v>
      </c>
      <c r="J28" s="55">
        <f>+H28*I28</f>
        <v>881250</v>
      </c>
      <c r="K28" s="106">
        <v>43073</v>
      </c>
      <c r="L28" s="541" t="s">
        <v>526</v>
      </c>
      <c r="M28" s="542"/>
      <c r="N28" s="542"/>
      <c r="O28" s="542"/>
    </row>
    <row r="29" spans="1:15" ht="15" hidden="1" x14ac:dyDescent="0.25">
      <c r="A29" s="66" t="s">
        <v>443</v>
      </c>
      <c r="B29" s="1" t="s">
        <v>449</v>
      </c>
      <c r="C29" s="107" t="s">
        <v>512</v>
      </c>
      <c r="D29" s="52"/>
      <c r="E29" s="67" t="s">
        <v>5</v>
      </c>
      <c r="F29" s="105"/>
      <c r="G29" s="106">
        <v>43083</v>
      </c>
      <c r="H29" s="9">
        <v>2500</v>
      </c>
      <c r="I29" s="8">
        <f>269.5-49.5</f>
        <v>220</v>
      </c>
      <c r="J29" s="55">
        <f>+H29*I29</f>
        <v>550000</v>
      </c>
      <c r="K29" s="106">
        <v>43073</v>
      </c>
      <c r="L29" s="541"/>
      <c r="M29" s="542"/>
      <c r="N29" s="542"/>
      <c r="O29" s="542"/>
    </row>
    <row r="30" spans="1:15" ht="18.75" hidden="1" x14ac:dyDescent="0.3">
      <c r="A30" s="531" t="s">
        <v>91</v>
      </c>
      <c r="B30" s="532"/>
      <c r="C30" s="13"/>
      <c r="D30" s="72"/>
      <c r="E30" s="13"/>
      <c r="F30" s="13"/>
      <c r="G30" s="13"/>
      <c r="H30" s="13"/>
      <c r="I30" s="13"/>
      <c r="J30" s="13"/>
      <c r="K30" s="14"/>
    </row>
    <row r="31" spans="1:15" ht="15" hidden="1" x14ac:dyDescent="0.25">
      <c r="A31" s="49"/>
      <c r="B31" s="17" t="s">
        <v>76</v>
      </c>
      <c r="C31" s="37"/>
      <c r="D31" s="73"/>
      <c r="E31" s="37"/>
      <c r="F31" s="37"/>
      <c r="G31" s="37"/>
      <c r="H31" s="18"/>
      <c r="I31" s="18"/>
      <c r="J31" s="18"/>
      <c r="K31" s="19"/>
    </row>
    <row r="32" spans="1:15" ht="15" hidden="1" x14ac:dyDescent="0.25">
      <c r="A32" s="49"/>
      <c r="B32" s="17" t="s">
        <v>78</v>
      </c>
      <c r="C32" s="37"/>
      <c r="D32" s="73"/>
      <c r="E32" s="37"/>
      <c r="F32" s="37"/>
      <c r="G32" s="37"/>
      <c r="H32" s="18"/>
      <c r="I32" s="18"/>
      <c r="J32" s="18"/>
      <c r="K32" s="19"/>
    </row>
    <row r="33" spans="1:11" ht="15" hidden="1" x14ac:dyDescent="0.25">
      <c r="A33" s="49"/>
      <c r="B33" s="17" t="s">
        <v>81</v>
      </c>
      <c r="C33" s="37"/>
      <c r="D33" s="73"/>
      <c r="E33" s="37"/>
      <c r="F33" s="37"/>
      <c r="G33" s="37"/>
      <c r="H33" s="18"/>
      <c r="I33" s="18"/>
      <c r="J33" s="18"/>
      <c r="K33" s="19"/>
    </row>
    <row r="34" spans="1:11" ht="15" hidden="1" x14ac:dyDescent="0.25">
      <c r="A34" s="49"/>
      <c r="B34" s="17" t="s">
        <v>98</v>
      </c>
      <c r="C34" s="44"/>
      <c r="D34" s="73"/>
      <c r="E34" s="37"/>
      <c r="F34" s="37"/>
      <c r="G34" s="37"/>
      <c r="H34" s="18"/>
      <c r="I34" s="18"/>
      <c r="J34" s="18"/>
      <c r="K34" s="19"/>
    </row>
    <row r="35" spans="1:11" ht="15" hidden="1" x14ac:dyDescent="0.25">
      <c r="A35" s="49"/>
      <c r="B35" s="17" t="s">
        <v>83</v>
      </c>
      <c r="C35" s="37"/>
      <c r="D35" s="73"/>
      <c r="E35" s="37"/>
      <c r="F35" s="37"/>
      <c r="G35" s="37"/>
      <c r="H35" s="18"/>
      <c r="I35" s="18"/>
      <c r="J35" s="18"/>
      <c r="K35" s="19"/>
    </row>
    <row r="36" spans="1:11" ht="15" hidden="1" x14ac:dyDescent="0.25">
      <c r="A36" s="49"/>
      <c r="B36" s="17" t="s">
        <v>84</v>
      </c>
      <c r="C36" s="37"/>
      <c r="D36" s="73"/>
      <c r="E36" s="37"/>
      <c r="F36" s="37"/>
      <c r="G36" s="37"/>
      <c r="H36" s="18"/>
      <c r="I36" s="18"/>
      <c r="J36" s="18"/>
      <c r="K36" s="19"/>
    </row>
    <row r="37" spans="1:11" ht="15" hidden="1" x14ac:dyDescent="0.25">
      <c r="A37" s="49"/>
      <c r="B37" s="17" t="s">
        <v>85</v>
      </c>
      <c r="C37" s="37"/>
      <c r="D37" s="73"/>
      <c r="E37" s="37"/>
      <c r="F37" s="37"/>
      <c r="G37" s="37"/>
      <c r="H37" s="18"/>
      <c r="I37" s="18"/>
      <c r="J37" s="18"/>
      <c r="K37" s="19"/>
    </row>
    <row r="38" spans="1:11" ht="15" hidden="1" x14ac:dyDescent="0.25">
      <c r="A38" s="50"/>
      <c r="B38" s="21"/>
      <c r="C38" s="21"/>
      <c r="D38" s="74"/>
      <c r="E38" s="21"/>
      <c r="F38" s="21"/>
      <c r="G38" s="21"/>
      <c r="H38" s="22"/>
      <c r="I38" s="22"/>
      <c r="J38" s="22"/>
      <c r="K38" s="23"/>
    </row>
    <row r="39" spans="1:11" ht="4.5" customHeight="1" x14ac:dyDescent="0.25">
      <c r="A39" s="47"/>
      <c r="B39" s="24"/>
      <c r="C39" s="24"/>
      <c r="D39" s="71"/>
      <c r="E39" s="24"/>
      <c r="F39" s="24"/>
      <c r="G39" s="24"/>
      <c r="H39" s="24"/>
      <c r="I39" s="24"/>
      <c r="J39" s="24"/>
      <c r="K39" s="24"/>
    </row>
    <row r="40" spans="1:11" x14ac:dyDescent="0.3">
      <c r="A40" s="66" t="s">
        <v>495</v>
      </c>
      <c r="B40" s="1" t="s">
        <v>8</v>
      </c>
      <c r="C40" s="107" t="s">
        <v>494</v>
      </c>
      <c r="D40" s="52"/>
      <c r="E40" s="67" t="s">
        <v>5</v>
      </c>
      <c r="F40" s="105"/>
      <c r="G40" s="106">
        <v>43076</v>
      </c>
      <c r="H40" s="9">
        <v>5500</v>
      </c>
      <c r="I40" s="8">
        <v>414.5</v>
      </c>
      <c r="J40" s="55">
        <f>+H40*I40</f>
        <v>2279750</v>
      </c>
      <c r="K40" s="106"/>
    </row>
    <row r="41" spans="1:11" x14ac:dyDescent="0.3">
      <c r="A41" s="66" t="s">
        <v>496</v>
      </c>
      <c r="B41" s="1" t="s">
        <v>381</v>
      </c>
      <c r="C41" s="107" t="s">
        <v>494</v>
      </c>
      <c r="D41" s="52"/>
      <c r="E41" s="67" t="s">
        <v>5</v>
      </c>
      <c r="F41" s="105"/>
      <c r="G41" s="106">
        <v>43076</v>
      </c>
      <c r="H41" s="9">
        <v>1430</v>
      </c>
      <c r="I41" s="8">
        <v>152</v>
      </c>
      <c r="J41" s="55">
        <f>+H41*I41</f>
        <v>217360</v>
      </c>
      <c r="K41" s="106"/>
    </row>
    <row r="42" spans="1:11" ht="18.75" x14ac:dyDescent="0.3">
      <c r="A42" s="531" t="s">
        <v>91</v>
      </c>
      <c r="B42" s="532"/>
      <c r="C42" s="13"/>
      <c r="D42" s="13"/>
      <c r="E42" s="13"/>
      <c r="F42" s="13"/>
      <c r="G42" s="13"/>
      <c r="H42" s="13"/>
      <c r="I42" s="13"/>
      <c r="J42" s="13"/>
      <c r="K42" s="14"/>
    </row>
    <row r="43" spans="1:11" x14ac:dyDescent="0.3">
      <c r="A43" s="49"/>
      <c r="B43" s="17" t="s">
        <v>76</v>
      </c>
      <c r="C43" s="37" t="s">
        <v>518</v>
      </c>
      <c r="D43" s="37"/>
      <c r="E43" s="37"/>
      <c r="F43" s="37"/>
      <c r="G43" s="37"/>
      <c r="H43" s="18"/>
      <c r="I43" s="18"/>
      <c r="J43" s="18"/>
      <c r="K43" s="19"/>
    </row>
    <row r="44" spans="1:11" x14ac:dyDescent="0.3">
      <c r="A44" s="49"/>
      <c r="B44" s="17" t="s">
        <v>78</v>
      </c>
      <c r="C44" s="37" t="s">
        <v>519</v>
      </c>
      <c r="D44" s="37"/>
      <c r="E44" s="37"/>
      <c r="F44" s="37"/>
      <c r="G44" s="37"/>
      <c r="H44" s="18"/>
      <c r="I44" s="59"/>
      <c r="J44" s="18"/>
      <c r="K44" s="19"/>
    </row>
    <row r="45" spans="1:11" x14ac:dyDescent="0.3">
      <c r="A45" s="49"/>
      <c r="B45" s="56" t="s">
        <v>98</v>
      </c>
      <c r="C45" s="45" t="s">
        <v>520</v>
      </c>
      <c r="D45" s="37"/>
      <c r="E45" s="37"/>
      <c r="F45" s="37"/>
      <c r="G45" s="37"/>
      <c r="H45" s="18"/>
      <c r="I45" s="18"/>
      <c r="J45" s="18"/>
      <c r="K45" s="19"/>
    </row>
    <row r="46" spans="1:11" x14ac:dyDescent="0.3">
      <c r="A46" s="49"/>
      <c r="B46" s="17" t="s">
        <v>81</v>
      </c>
      <c r="C46" s="17">
        <v>14000118</v>
      </c>
      <c r="D46" s="37"/>
      <c r="E46" s="37"/>
      <c r="F46" s="37"/>
      <c r="G46" s="37"/>
      <c r="H46" s="18"/>
      <c r="I46" s="18"/>
      <c r="J46" s="18"/>
      <c r="K46" s="19"/>
    </row>
    <row r="47" spans="1:11" x14ac:dyDescent="0.3">
      <c r="A47" s="49"/>
      <c r="B47" s="17" t="s">
        <v>85</v>
      </c>
      <c r="C47" s="44" t="s">
        <v>521</v>
      </c>
      <c r="D47" s="37"/>
      <c r="E47" s="37"/>
      <c r="F47" s="37"/>
      <c r="G47" s="37"/>
      <c r="H47" s="18"/>
      <c r="I47" s="18"/>
      <c r="J47" s="18"/>
      <c r="K47" s="19"/>
    </row>
    <row r="48" spans="1:11" x14ac:dyDescent="0.3">
      <c r="A48" s="49"/>
      <c r="B48" s="17" t="s">
        <v>522</v>
      </c>
      <c r="C48" s="45" t="s">
        <v>523</v>
      </c>
      <c r="D48" s="37"/>
      <c r="E48" s="37"/>
      <c r="F48" s="37"/>
      <c r="G48" s="37"/>
      <c r="H48" s="18"/>
      <c r="I48" s="18"/>
      <c r="J48" s="18"/>
      <c r="K48" s="19"/>
    </row>
    <row r="49" spans="1:11" x14ac:dyDescent="0.3">
      <c r="A49" s="50"/>
      <c r="B49" s="21"/>
      <c r="C49" s="21"/>
      <c r="D49" s="21"/>
      <c r="E49" s="21"/>
      <c r="F49" s="21"/>
      <c r="G49" s="21"/>
      <c r="H49" s="22"/>
      <c r="I49" s="22"/>
      <c r="J49" s="22"/>
      <c r="K49" s="23"/>
    </row>
  </sheetData>
  <mergeCells count="6">
    <mergeCell ref="L1:P1"/>
    <mergeCell ref="A4:B4"/>
    <mergeCell ref="A42:B42"/>
    <mergeCell ref="A30:B30"/>
    <mergeCell ref="L28:O29"/>
    <mergeCell ref="A16:B16"/>
  </mergeCells>
  <conditionalFormatting sqref="G28:G29">
    <cfRule type="cellIs" dxfId="1787" priority="12" operator="between">
      <formula>TODAY()</formula>
      <formula>TODAY()+10</formula>
    </cfRule>
  </conditionalFormatting>
  <conditionalFormatting sqref="G40:G41">
    <cfRule type="cellIs" dxfId="1786" priority="21" operator="between">
      <formula>TODAY()</formula>
      <formula>TODAY()+10</formula>
    </cfRule>
  </conditionalFormatting>
  <conditionalFormatting sqref="G15">
    <cfRule type="cellIs" dxfId="1785" priority="1" operator="between">
      <formula>TODAY()</formula>
      <formula>TODAY()+10</formula>
    </cfRule>
  </conditionalFormatting>
  <conditionalFormatting sqref="G3">
    <cfRule type="cellIs" dxfId="1784" priority="17" operator="between">
      <formula>TODAY()</formula>
      <formula>TODAY()+10</formula>
    </cfRule>
  </conditionalFormatting>
  <dataValidations count="4">
    <dataValidation type="list" allowBlank="1" showInputMessage="1" showErrorMessage="1" sqref="B40:B41 B3 B28:B29 B15">
      <formula1>MATERIALES</formula1>
    </dataValidation>
    <dataValidation type="list" allowBlank="1" showInputMessage="1" showErrorMessage="1" sqref="C40:C41 C3 C28:C29 C15">
      <formula1>PROVEEDORES</formula1>
    </dataValidation>
    <dataValidation type="list" allowBlank="1" showInputMessage="1" showErrorMessage="1" sqref="E40:E41 E28:E38 E15">
      <formula1>PLAZOdePAGO</formula1>
    </dataValidation>
    <dataValidation type="list" allowBlank="1" showInputMessage="1" showErrorMessage="1" sqref="F40:F41 F28:F38 F15">
      <formula1>PLAZOdePAGO2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>
      <selection activeCell="A7" sqref="A7:XFD15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customHeight="1" x14ac:dyDescent="0.3">
      <c r="A3" s="66" t="s">
        <v>265</v>
      </c>
      <c r="B3" s="1" t="s">
        <v>282</v>
      </c>
      <c r="C3" s="107" t="s">
        <v>42</v>
      </c>
      <c r="D3" s="52" t="s">
        <v>498</v>
      </c>
      <c r="E3" s="67">
        <v>90</v>
      </c>
      <c r="F3" s="105" t="s">
        <v>20</v>
      </c>
      <c r="G3" s="106">
        <f>+K3+E3</f>
        <v>43097</v>
      </c>
      <c r="H3" s="9">
        <v>6</v>
      </c>
      <c r="I3" s="8">
        <v>1820</v>
      </c>
      <c r="J3" s="55">
        <f>+I3*H3</f>
        <v>10920</v>
      </c>
      <c r="K3" s="106">
        <v>43007</v>
      </c>
      <c r="M3" s="117"/>
      <c r="N3" s="117"/>
      <c r="O3" s="117"/>
    </row>
    <row r="4" spans="1:16" ht="15" customHeight="1" x14ac:dyDescent="0.3">
      <c r="A4" s="66" t="s">
        <v>266</v>
      </c>
      <c r="B4" s="1" t="s">
        <v>283</v>
      </c>
      <c r="C4" s="107" t="s">
        <v>42</v>
      </c>
      <c r="D4" s="52" t="s">
        <v>498</v>
      </c>
      <c r="E4" s="67">
        <v>90</v>
      </c>
      <c r="F4" s="105" t="s">
        <v>20</v>
      </c>
      <c r="G4" s="106">
        <f>+K4+E4</f>
        <v>43097</v>
      </c>
      <c r="H4" s="9">
        <v>6</v>
      </c>
      <c r="I4" s="8">
        <v>1810</v>
      </c>
      <c r="J4" s="55">
        <f>+I4*H4</f>
        <v>10860</v>
      </c>
      <c r="K4" s="106">
        <v>43007</v>
      </c>
      <c r="M4" s="117"/>
      <c r="N4" s="117"/>
      <c r="O4" s="117"/>
    </row>
    <row r="5" spans="1:16" ht="15" customHeight="1" x14ac:dyDescent="0.3">
      <c r="A5" s="66" t="s">
        <v>267</v>
      </c>
      <c r="B5" s="1" t="s">
        <v>284</v>
      </c>
      <c r="C5" s="107" t="s">
        <v>42</v>
      </c>
      <c r="D5" s="52" t="s">
        <v>498</v>
      </c>
      <c r="E5" s="67">
        <v>90</v>
      </c>
      <c r="F5" s="105" t="s">
        <v>20</v>
      </c>
      <c r="G5" s="106">
        <f>+K5+E5</f>
        <v>43097</v>
      </c>
      <c r="H5" s="9">
        <v>6</v>
      </c>
      <c r="I5" s="8">
        <v>1890</v>
      </c>
      <c r="J5" s="55">
        <f>+I5*H5</f>
        <v>11340</v>
      </c>
      <c r="K5" s="106">
        <v>43007</v>
      </c>
      <c r="M5" s="117"/>
      <c r="N5" s="117"/>
      <c r="O5" s="117"/>
    </row>
    <row r="6" spans="1:16" ht="15" customHeight="1" x14ac:dyDescent="0.3">
      <c r="A6" s="66" t="s">
        <v>268</v>
      </c>
      <c r="B6" s="1" t="s">
        <v>285</v>
      </c>
      <c r="C6" s="107" t="s">
        <v>42</v>
      </c>
      <c r="D6" s="52" t="s">
        <v>498</v>
      </c>
      <c r="E6" s="67">
        <v>90</v>
      </c>
      <c r="F6" s="105" t="s">
        <v>20</v>
      </c>
      <c r="G6" s="106">
        <f>+K6+E6</f>
        <v>43097</v>
      </c>
      <c r="H6" s="9">
        <v>6</v>
      </c>
      <c r="I6" s="8">
        <v>1530</v>
      </c>
      <c r="J6" s="55">
        <f>+I6*H6</f>
        <v>9180</v>
      </c>
      <c r="K6" s="106">
        <v>43007</v>
      </c>
      <c r="M6" s="117"/>
      <c r="N6" s="117"/>
      <c r="O6" s="117"/>
    </row>
    <row r="7" spans="1:16" ht="18.75" x14ac:dyDescent="0.3">
      <c r="A7" s="531" t="s">
        <v>91</v>
      </c>
      <c r="B7" s="532"/>
      <c r="C7" s="13"/>
      <c r="D7" s="72"/>
      <c r="E7" s="13"/>
      <c r="F7" s="13"/>
      <c r="G7" s="13"/>
      <c r="H7" s="13"/>
      <c r="I7" s="13"/>
      <c r="J7" s="13"/>
      <c r="K7" s="14"/>
    </row>
    <row r="8" spans="1:16" x14ac:dyDescent="0.3">
      <c r="A8" s="49"/>
      <c r="B8" s="17" t="s">
        <v>76</v>
      </c>
      <c r="C8" s="37" t="s">
        <v>42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78</v>
      </c>
      <c r="C9" s="37" t="s">
        <v>119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81</v>
      </c>
      <c r="C10" s="37" t="s">
        <v>117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98</v>
      </c>
      <c r="C11" s="44" t="s">
        <v>118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83</v>
      </c>
      <c r="C12" s="37" t="s">
        <v>116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84</v>
      </c>
      <c r="C13" s="37" t="s">
        <v>114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37" t="s">
        <v>115</v>
      </c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21"/>
      <c r="D15" s="74"/>
      <c r="E15" s="21"/>
      <c r="F15" s="21"/>
      <c r="G15" s="21"/>
      <c r="H15" s="22"/>
      <c r="I15" s="22"/>
      <c r="J15" s="22"/>
      <c r="K15" s="23"/>
    </row>
    <row r="16" spans="1:16" ht="3.75" customHeight="1" x14ac:dyDescent="0.25">
      <c r="A16" s="47"/>
      <c r="B16" s="24"/>
      <c r="C16" s="24"/>
      <c r="D16" s="71"/>
      <c r="E16" s="24"/>
      <c r="F16" s="24"/>
      <c r="G16" s="24"/>
      <c r="H16" s="24"/>
      <c r="I16" s="24"/>
      <c r="J16" s="24"/>
      <c r="K16" s="24"/>
    </row>
    <row r="17" spans="1:15" ht="15" customHeight="1" x14ac:dyDescent="0.3">
      <c r="A17" s="66" t="s">
        <v>442</v>
      </c>
      <c r="B17" s="1" t="s">
        <v>448</v>
      </c>
      <c r="C17" s="107" t="s">
        <v>512</v>
      </c>
      <c r="D17" s="52"/>
      <c r="E17" s="67" t="s">
        <v>5</v>
      </c>
      <c r="F17" s="105"/>
      <c r="G17" s="106">
        <v>43096</v>
      </c>
      <c r="H17" s="9">
        <v>3934.1</v>
      </c>
      <c r="I17" s="8">
        <f>284.5-49.5</f>
        <v>235</v>
      </c>
      <c r="J17" s="55">
        <f>+H17*I17</f>
        <v>924513.5</v>
      </c>
      <c r="K17" s="106">
        <v>43073</v>
      </c>
      <c r="L17" s="10" t="s">
        <v>535</v>
      </c>
      <c r="M17" s="117"/>
      <c r="N17" s="117"/>
      <c r="O17" s="117"/>
    </row>
    <row r="18" spans="1:15" ht="15" x14ac:dyDescent="0.25">
      <c r="A18" s="66" t="s">
        <v>443</v>
      </c>
      <c r="B18" s="1" t="s">
        <v>449</v>
      </c>
      <c r="C18" s="107" t="s">
        <v>512</v>
      </c>
      <c r="D18" s="52"/>
      <c r="E18" s="67" t="s">
        <v>5</v>
      </c>
      <c r="F18" s="105"/>
      <c r="G18" s="106">
        <v>43096</v>
      </c>
      <c r="H18" s="9">
        <v>2500.7060000000001</v>
      </c>
      <c r="I18" s="8">
        <f>269.5-49.5</f>
        <v>220</v>
      </c>
      <c r="J18" s="55">
        <f>+H18*I18</f>
        <v>550155.32000000007</v>
      </c>
      <c r="K18" s="106">
        <v>43073</v>
      </c>
      <c r="L18" s="10" t="s">
        <v>534</v>
      </c>
      <c r="M18" s="117"/>
      <c r="N18" s="117"/>
      <c r="O18" s="117"/>
    </row>
    <row r="19" spans="1:15" ht="18.75" x14ac:dyDescent="0.3">
      <c r="A19" s="531" t="s">
        <v>91</v>
      </c>
      <c r="B19" s="532"/>
      <c r="C19" s="13"/>
      <c r="D19" s="72"/>
      <c r="E19" s="13"/>
      <c r="F19" s="13"/>
      <c r="G19" s="13"/>
      <c r="H19" s="13"/>
      <c r="I19" s="13"/>
      <c r="J19" s="13"/>
      <c r="K19" s="14"/>
    </row>
    <row r="20" spans="1:15" x14ac:dyDescent="0.3">
      <c r="A20" s="49"/>
      <c r="B20" s="17" t="s">
        <v>76</v>
      </c>
      <c r="C20" s="37"/>
      <c r="D20" s="73"/>
      <c r="E20" s="37"/>
      <c r="F20" s="37"/>
      <c r="G20" s="37"/>
      <c r="H20" s="18"/>
      <c r="I20" s="18"/>
      <c r="J20" s="18"/>
      <c r="K20" s="19"/>
    </row>
    <row r="21" spans="1:15" x14ac:dyDescent="0.3">
      <c r="A21" s="49"/>
      <c r="B21" s="17" t="s">
        <v>78</v>
      </c>
      <c r="C21" s="37"/>
      <c r="D21" s="73"/>
      <c r="E21" s="37"/>
      <c r="F21" s="37"/>
      <c r="G21" s="37"/>
      <c r="H21" s="18"/>
      <c r="I21" s="18"/>
      <c r="J21" s="18"/>
      <c r="K21" s="19"/>
    </row>
    <row r="22" spans="1:15" x14ac:dyDescent="0.3">
      <c r="A22" s="49"/>
      <c r="B22" s="17" t="s">
        <v>81</v>
      </c>
      <c r="C22" s="37"/>
      <c r="D22" s="73"/>
      <c r="E22" s="37"/>
      <c r="F22" s="37"/>
      <c r="G22" s="37"/>
      <c r="H22" s="18"/>
      <c r="I22" s="18"/>
      <c r="J22" s="18"/>
      <c r="K22" s="19"/>
    </row>
    <row r="23" spans="1:15" x14ac:dyDescent="0.3">
      <c r="A23" s="49"/>
      <c r="B23" s="17" t="s">
        <v>98</v>
      </c>
      <c r="C23" s="44"/>
      <c r="D23" s="73"/>
      <c r="E23" s="37"/>
      <c r="F23" s="37"/>
      <c r="G23" s="37"/>
      <c r="H23" s="18"/>
      <c r="I23" s="18"/>
      <c r="J23" s="18"/>
      <c r="K23" s="19"/>
    </row>
    <row r="24" spans="1:15" x14ac:dyDescent="0.3">
      <c r="A24" s="49"/>
      <c r="B24" s="17" t="s">
        <v>83</v>
      </c>
      <c r="C24" s="37"/>
      <c r="D24" s="73"/>
      <c r="E24" s="37"/>
      <c r="F24" s="37"/>
      <c r="G24" s="37"/>
      <c r="H24" s="18"/>
      <c r="I24" s="18"/>
      <c r="J24" s="18"/>
      <c r="K24" s="19"/>
    </row>
    <row r="25" spans="1:15" x14ac:dyDescent="0.3">
      <c r="A25" s="49"/>
      <c r="B25" s="17" t="s">
        <v>84</v>
      </c>
      <c r="C25" s="37"/>
      <c r="D25" s="73"/>
      <c r="E25" s="37"/>
      <c r="F25" s="37"/>
      <c r="G25" s="37"/>
      <c r="H25" s="18"/>
      <c r="I25" s="18"/>
      <c r="J25" s="18"/>
      <c r="K25" s="19"/>
    </row>
    <row r="26" spans="1:15" x14ac:dyDescent="0.3">
      <c r="A26" s="49"/>
      <c r="B26" s="17" t="s">
        <v>85</v>
      </c>
      <c r="C26" s="37"/>
      <c r="D26" s="73"/>
      <c r="E26" s="37"/>
      <c r="F26" s="37"/>
      <c r="G26" s="37"/>
      <c r="H26" s="18"/>
      <c r="I26" s="18"/>
      <c r="J26" s="18"/>
      <c r="K26" s="19"/>
    </row>
    <row r="27" spans="1:15" ht="15" x14ac:dyDescent="0.25">
      <c r="A27" s="50"/>
      <c r="B27" s="21"/>
      <c r="C27" s="21"/>
      <c r="D27" s="74"/>
      <c r="E27" s="21"/>
      <c r="F27" s="21"/>
      <c r="G27" s="21"/>
      <c r="H27" s="22"/>
      <c r="I27" s="22"/>
      <c r="J27" s="22"/>
      <c r="K27" s="23"/>
    </row>
  </sheetData>
  <mergeCells count="3">
    <mergeCell ref="L1:P1"/>
    <mergeCell ref="A7:B7"/>
    <mergeCell ref="A19:B19"/>
  </mergeCells>
  <conditionalFormatting sqref="G17:G18">
    <cfRule type="cellIs" dxfId="1783" priority="9" operator="between">
      <formula>TODAY()</formula>
      <formula>TODAY()+10</formula>
    </cfRule>
  </conditionalFormatting>
  <conditionalFormatting sqref="G3:G6">
    <cfRule type="cellIs" dxfId="1782" priority="1" operator="between">
      <formula>TODAY()</formula>
      <formula>TODAY()+10</formula>
    </cfRule>
  </conditionalFormatting>
  <dataValidations count="4">
    <dataValidation type="list" allowBlank="1" showInputMessage="1" showErrorMessage="1" sqref="B17:B18">
      <formula1>MATERIALES</formula1>
    </dataValidation>
    <dataValidation type="list" allowBlank="1" showInputMessage="1" showErrorMessage="1" sqref="C17:C18">
      <formula1>PROVEEDORES</formula1>
    </dataValidation>
    <dataValidation type="list" allowBlank="1" showInputMessage="1" showErrorMessage="1" sqref="E17:E27 E3:E15">
      <formula1>PLAZOdePAGO</formula1>
    </dataValidation>
    <dataValidation type="list" allowBlank="1" showInputMessage="1" showErrorMessage="1" sqref="F17:F27 F3:F15">
      <formula1>PLAZOdePAGO2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workbookViewId="0">
      <selection activeCell="D21" sqref="D21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66" t="s">
        <v>141</v>
      </c>
      <c r="B3" s="1" t="s">
        <v>6</v>
      </c>
      <c r="C3" s="107" t="s">
        <v>7</v>
      </c>
      <c r="D3" s="52" t="s">
        <v>394</v>
      </c>
      <c r="E3" s="67">
        <v>90</v>
      </c>
      <c r="F3" s="105" t="s">
        <v>20</v>
      </c>
      <c r="G3" s="106">
        <v>43090</v>
      </c>
      <c r="H3" s="9">
        <v>250</v>
      </c>
      <c r="I3" s="8">
        <v>515</v>
      </c>
      <c r="J3" s="55">
        <f>+I3*H3</f>
        <v>128750</v>
      </c>
      <c r="K3" s="106">
        <v>43000</v>
      </c>
      <c r="L3" s="10" t="s">
        <v>531</v>
      </c>
    </row>
    <row r="4" spans="1:16" ht="18.75" x14ac:dyDescent="0.3">
      <c r="A4" s="531" t="s">
        <v>91</v>
      </c>
      <c r="B4" s="532"/>
      <c r="C4" s="13"/>
      <c r="D4" s="13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92</v>
      </c>
      <c r="D5" s="37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98</v>
      </c>
      <c r="C6" s="45" t="s">
        <v>102</v>
      </c>
      <c r="D6" s="37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81</v>
      </c>
      <c r="C7" s="45" t="s">
        <v>424</v>
      </c>
      <c r="D7" s="37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85</v>
      </c>
      <c r="C8" s="45" t="s">
        <v>104</v>
      </c>
      <c r="D8" s="37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17" t="s">
        <v>412</v>
      </c>
      <c r="D9" s="37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165</v>
      </c>
      <c r="C10" s="45" t="s">
        <v>107</v>
      </c>
      <c r="D10" s="37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5" t="s">
        <v>108</v>
      </c>
      <c r="D11" s="37"/>
      <c r="E11" s="37"/>
      <c r="F11" s="37"/>
      <c r="G11" s="37"/>
      <c r="H11" s="18"/>
      <c r="I11" s="18"/>
      <c r="J11" s="18"/>
      <c r="K11" s="19"/>
    </row>
    <row r="12" spans="1:16" ht="15" x14ac:dyDescent="0.25">
      <c r="A12" s="49"/>
      <c r="B12" s="17" t="s">
        <v>121</v>
      </c>
      <c r="C12" s="17" t="s">
        <v>525</v>
      </c>
      <c r="D12" s="37"/>
      <c r="E12" s="37"/>
      <c r="F12" s="37"/>
      <c r="G12" s="37"/>
      <c r="H12" s="18"/>
      <c r="I12" s="18"/>
      <c r="J12" s="18"/>
      <c r="K12" s="19"/>
    </row>
    <row r="13" spans="1:16" ht="15" x14ac:dyDescent="0.25">
      <c r="A13" s="5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6" ht="3.75" customHeight="1" x14ac:dyDescent="0.25">
      <c r="A14" s="47"/>
      <c r="B14" s="24"/>
      <c r="C14" s="24"/>
      <c r="D14" s="71"/>
      <c r="E14" s="24"/>
      <c r="F14" s="24"/>
      <c r="G14" s="24"/>
      <c r="H14" s="24"/>
      <c r="I14" s="24"/>
      <c r="J14" s="24"/>
      <c r="K14" s="24"/>
    </row>
    <row r="15" spans="1:16" ht="15" x14ac:dyDescent="0.25">
      <c r="A15" s="66" t="s">
        <v>440</v>
      </c>
      <c r="B15" s="1" t="s">
        <v>243</v>
      </c>
      <c r="C15" s="107" t="s">
        <v>46</v>
      </c>
      <c r="D15" s="52"/>
      <c r="E15" s="67" t="s">
        <v>5</v>
      </c>
      <c r="F15" s="105"/>
      <c r="G15" s="106">
        <v>43091</v>
      </c>
      <c r="H15" s="9">
        <v>4000</v>
      </c>
      <c r="I15" s="8">
        <v>307.5</v>
      </c>
      <c r="J15" s="55">
        <f>+H15*I15</f>
        <v>1230000</v>
      </c>
      <c r="K15" s="106">
        <v>43073</v>
      </c>
      <c r="L15" s="10" t="s">
        <v>513</v>
      </c>
    </row>
    <row r="16" spans="1:16" ht="15" x14ac:dyDescent="0.25">
      <c r="A16" s="66" t="s">
        <v>441</v>
      </c>
      <c r="B16" s="1" t="s">
        <v>32</v>
      </c>
      <c r="C16" s="107" t="s">
        <v>46</v>
      </c>
      <c r="D16" s="52"/>
      <c r="E16" s="67" t="s">
        <v>5</v>
      </c>
      <c r="F16" s="105"/>
      <c r="G16" s="106">
        <v>43091</v>
      </c>
      <c r="H16" s="9">
        <v>2750</v>
      </c>
      <c r="I16" s="8">
        <v>318.5</v>
      </c>
      <c r="J16" s="55">
        <f>+H16*I16</f>
        <v>875875</v>
      </c>
      <c r="K16" s="106">
        <v>43073</v>
      </c>
      <c r="L16" s="10" t="s">
        <v>536</v>
      </c>
    </row>
    <row r="17" spans="1:11" ht="18.75" x14ac:dyDescent="0.3">
      <c r="A17" s="531" t="s">
        <v>91</v>
      </c>
      <c r="B17" s="532"/>
      <c r="C17" s="13"/>
      <c r="D17" s="13"/>
      <c r="E17" s="13"/>
      <c r="F17" s="13"/>
      <c r="G17" s="13"/>
      <c r="H17" s="13"/>
      <c r="I17" s="13"/>
      <c r="J17" s="13"/>
      <c r="K17" s="14"/>
    </row>
    <row r="18" spans="1:11" x14ac:dyDescent="0.3">
      <c r="A18" s="49"/>
      <c r="B18" s="17" t="s">
        <v>76</v>
      </c>
      <c r="C18" s="37"/>
      <c r="D18" s="37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78</v>
      </c>
      <c r="C19" s="37"/>
      <c r="D19" s="37"/>
      <c r="E19" s="37"/>
      <c r="F19" s="37"/>
      <c r="G19" s="37"/>
      <c r="H19" s="18"/>
      <c r="I19" s="59"/>
      <c r="J19" s="18"/>
      <c r="K19" s="19"/>
    </row>
    <row r="20" spans="1:11" x14ac:dyDescent="0.3">
      <c r="A20" s="49"/>
      <c r="B20" s="56" t="s">
        <v>98</v>
      </c>
      <c r="C20" s="45"/>
      <c r="D20" s="37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17" t="s">
        <v>81</v>
      </c>
      <c r="C21" s="17"/>
      <c r="D21" s="37"/>
      <c r="E21" s="37"/>
      <c r="F21" s="37"/>
      <c r="G21" s="37"/>
      <c r="H21" s="18"/>
      <c r="I21" s="18"/>
      <c r="J21" s="18"/>
      <c r="K21" s="19"/>
    </row>
    <row r="22" spans="1:11" x14ac:dyDescent="0.3">
      <c r="A22" s="49"/>
      <c r="B22" s="17" t="s">
        <v>85</v>
      </c>
      <c r="C22" s="44"/>
      <c r="D22" s="37"/>
      <c r="E22" s="37"/>
      <c r="F22" s="37"/>
      <c r="G22" s="37"/>
      <c r="H22" s="18"/>
      <c r="I22" s="18"/>
      <c r="J22" s="18"/>
      <c r="K22" s="19"/>
    </row>
    <row r="23" spans="1:11" ht="15" x14ac:dyDescent="0.25">
      <c r="A23" s="49"/>
      <c r="B23" s="17" t="s">
        <v>522</v>
      </c>
      <c r="C23" s="45"/>
      <c r="D23" s="37"/>
      <c r="E23" s="37"/>
      <c r="F23" s="37"/>
      <c r="G23" s="37"/>
      <c r="H23" s="18"/>
      <c r="I23" s="18"/>
      <c r="J23" s="18"/>
      <c r="K23" s="19"/>
    </row>
    <row r="24" spans="1:11" ht="15" x14ac:dyDescent="0.25">
      <c r="A24" s="5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 ht="3.75" customHeight="1" x14ac:dyDescent="0.25">
      <c r="A25" s="47"/>
      <c r="B25" s="24"/>
      <c r="C25" s="24"/>
      <c r="D25" s="71"/>
      <c r="E25" s="24"/>
      <c r="F25" s="24"/>
      <c r="G25" s="24"/>
      <c r="H25" s="24"/>
      <c r="I25" s="24"/>
      <c r="J25" s="24"/>
      <c r="K25" s="24"/>
    </row>
    <row r="26" spans="1:11" ht="15" x14ac:dyDescent="0.25">
      <c r="A26" s="66" t="s">
        <v>435</v>
      </c>
      <c r="B26" s="1" t="s">
        <v>241</v>
      </c>
      <c r="C26" s="107" t="s">
        <v>42</v>
      </c>
      <c r="D26" s="52">
        <v>300004820</v>
      </c>
      <c r="E26" s="67" t="s">
        <v>5</v>
      </c>
      <c r="F26" s="105"/>
      <c r="G26" s="106">
        <v>43091</v>
      </c>
      <c r="H26" s="9">
        <v>195.71</v>
      </c>
      <c r="I26" s="8">
        <v>230</v>
      </c>
      <c r="J26" s="55">
        <f>+H26*I26</f>
        <v>45013.3</v>
      </c>
      <c r="K26" s="106">
        <v>43084</v>
      </c>
    </row>
    <row r="27" spans="1:11" ht="18.75" x14ac:dyDescent="0.3">
      <c r="A27" s="531" t="s">
        <v>91</v>
      </c>
      <c r="B27" s="532"/>
      <c r="C27" s="13"/>
      <c r="D27" s="72"/>
      <c r="E27" s="13"/>
      <c r="F27" s="13"/>
      <c r="G27" s="13"/>
      <c r="H27" s="13"/>
      <c r="I27" s="13"/>
      <c r="J27" s="13"/>
      <c r="K27" s="14"/>
    </row>
    <row r="28" spans="1:11" x14ac:dyDescent="0.3">
      <c r="A28" s="49"/>
      <c r="B28" s="17" t="s">
        <v>76</v>
      </c>
      <c r="C28" s="37" t="s">
        <v>42</v>
      </c>
      <c r="D28" s="73"/>
      <c r="E28" s="37"/>
      <c r="F28" s="37"/>
      <c r="G28" s="37"/>
      <c r="H28" s="18"/>
      <c r="I28" s="18"/>
      <c r="J28" s="18"/>
      <c r="K28" s="19"/>
    </row>
    <row r="29" spans="1:11" x14ac:dyDescent="0.3">
      <c r="A29" s="49"/>
      <c r="B29" s="17" t="s">
        <v>78</v>
      </c>
      <c r="C29" s="37" t="s">
        <v>119</v>
      </c>
      <c r="D29" s="73"/>
      <c r="E29" s="37"/>
      <c r="F29" s="37"/>
      <c r="G29" s="37"/>
      <c r="H29" s="18"/>
      <c r="I29" s="18"/>
      <c r="J29" s="18"/>
      <c r="K29" s="19"/>
    </row>
    <row r="30" spans="1:11" x14ac:dyDescent="0.3">
      <c r="A30" s="49"/>
      <c r="B30" s="17" t="s">
        <v>81</v>
      </c>
      <c r="C30" s="37" t="s">
        <v>117</v>
      </c>
      <c r="D30" s="73"/>
      <c r="E30" s="37"/>
      <c r="F30" s="37"/>
      <c r="G30" s="37"/>
      <c r="H30" s="18"/>
      <c r="I30" s="18"/>
      <c r="J30" s="18"/>
      <c r="K30" s="19"/>
    </row>
    <row r="31" spans="1:11" x14ac:dyDescent="0.3">
      <c r="A31" s="49"/>
      <c r="B31" s="17" t="s">
        <v>98</v>
      </c>
      <c r="C31" s="44" t="s">
        <v>118</v>
      </c>
      <c r="D31" s="73"/>
      <c r="E31" s="37"/>
      <c r="F31" s="37"/>
      <c r="G31" s="37"/>
      <c r="H31" s="18"/>
      <c r="I31" s="18"/>
      <c r="J31" s="18"/>
      <c r="K31" s="19"/>
    </row>
    <row r="32" spans="1:11" x14ac:dyDescent="0.3">
      <c r="A32" s="49"/>
      <c r="B32" s="17" t="s">
        <v>83</v>
      </c>
      <c r="C32" s="37" t="s">
        <v>116</v>
      </c>
      <c r="D32" s="73"/>
      <c r="E32" s="37"/>
      <c r="F32" s="37"/>
      <c r="G32" s="37"/>
      <c r="H32" s="18"/>
      <c r="I32" s="18"/>
      <c r="J32" s="18"/>
      <c r="K32" s="19"/>
    </row>
    <row r="33" spans="1:11" x14ac:dyDescent="0.3">
      <c r="A33" s="49"/>
      <c r="B33" s="17" t="s">
        <v>84</v>
      </c>
      <c r="C33" s="37" t="s">
        <v>114</v>
      </c>
      <c r="D33" s="73"/>
      <c r="E33" s="37"/>
      <c r="F33" s="37"/>
      <c r="G33" s="37"/>
      <c r="H33" s="18"/>
      <c r="I33" s="18"/>
      <c r="J33" s="18"/>
      <c r="K33" s="19"/>
    </row>
    <row r="34" spans="1:11" x14ac:dyDescent="0.3">
      <c r="A34" s="49"/>
      <c r="B34" s="17" t="s">
        <v>85</v>
      </c>
      <c r="C34" s="37" t="s">
        <v>115</v>
      </c>
      <c r="D34" s="73"/>
      <c r="E34" s="37"/>
      <c r="F34" s="37"/>
      <c r="G34" s="37"/>
      <c r="H34" s="18"/>
      <c r="I34" s="18"/>
      <c r="J34" s="18"/>
      <c r="K34" s="19"/>
    </row>
    <row r="35" spans="1:11" x14ac:dyDescent="0.3">
      <c r="A35" s="50"/>
      <c r="B35" s="21"/>
      <c r="C35" s="21"/>
      <c r="D35" s="74"/>
      <c r="E35" s="21"/>
      <c r="F35" s="21"/>
      <c r="G35" s="21"/>
      <c r="H35" s="22"/>
      <c r="I35" s="22"/>
      <c r="J35" s="22"/>
      <c r="K35" s="23"/>
    </row>
  </sheetData>
  <mergeCells count="4">
    <mergeCell ref="L1:P1"/>
    <mergeCell ref="A4:B4"/>
    <mergeCell ref="A17:B17"/>
    <mergeCell ref="A27:B27"/>
  </mergeCells>
  <conditionalFormatting sqref="G3">
    <cfRule type="cellIs" dxfId="1781" priority="12" operator="between">
      <formula>TODAY()</formula>
      <formula>TODAY()+10</formula>
    </cfRule>
  </conditionalFormatting>
  <conditionalFormatting sqref="G15:G16">
    <cfRule type="cellIs" dxfId="1780" priority="7" operator="between">
      <formula>TODAY()</formula>
      <formula>TODAY()+10</formula>
    </cfRule>
  </conditionalFormatting>
  <conditionalFormatting sqref="G26">
    <cfRule type="cellIs" dxfId="1779" priority="1" operator="between">
      <formula>TODAY()</formula>
      <formula>TODAY()+10</formula>
    </cfRule>
  </conditionalFormatting>
  <dataValidations count="4">
    <dataValidation type="list" allowBlank="1" showInputMessage="1" showErrorMessage="1" sqref="F15:F16 F26:F35">
      <formula1>PLAZOdePAGO2</formula1>
    </dataValidation>
    <dataValidation type="list" allowBlank="1" showInputMessage="1" showErrorMessage="1" sqref="E15:E16 E26:E35">
      <formula1>PLAZOdePAGO</formula1>
    </dataValidation>
    <dataValidation type="list" allowBlank="1" showInputMessage="1" showErrorMessage="1" sqref="C15:C16 C26">
      <formula1>PROVEEDORES</formula1>
    </dataValidation>
    <dataValidation type="list" allowBlank="1" showInputMessage="1" showErrorMessage="1" sqref="B15:B16 B26">
      <formula1>MATERIALES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showGridLines="0" workbookViewId="0">
      <selection sqref="A1:XFD1048576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4.1" customHeight="1" x14ac:dyDescent="0.25">
      <c r="A3" s="118" t="s">
        <v>570</v>
      </c>
      <c r="B3" s="121" t="s">
        <v>13</v>
      </c>
      <c r="C3" s="119" t="s">
        <v>577</v>
      </c>
      <c r="D3" s="106" t="s">
        <v>580</v>
      </c>
      <c r="E3" s="120" t="s">
        <v>5</v>
      </c>
      <c r="F3" s="31"/>
      <c r="G3" s="7">
        <v>43104</v>
      </c>
      <c r="H3" s="9">
        <v>200</v>
      </c>
      <c r="I3" s="8">
        <v>795</v>
      </c>
      <c r="J3" s="55">
        <f>+H3*I3*15%</f>
        <v>23850</v>
      </c>
      <c r="K3" s="106"/>
      <c r="L3" s="10" t="s">
        <v>579</v>
      </c>
    </row>
    <row r="4" spans="1:16" ht="14.1" customHeight="1" x14ac:dyDescent="0.25">
      <c r="A4" s="118" t="s">
        <v>571</v>
      </c>
      <c r="B4" s="121" t="s">
        <v>13</v>
      </c>
      <c r="C4" s="119" t="s">
        <v>577</v>
      </c>
      <c r="D4" s="106" t="s">
        <v>581</v>
      </c>
      <c r="E4" s="120" t="s">
        <v>5</v>
      </c>
      <c r="F4" s="31"/>
      <c r="G4" s="7">
        <v>43104</v>
      </c>
      <c r="H4" s="9">
        <v>200</v>
      </c>
      <c r="I4" s="8">
        <v>795</v>
      </c>
      <c r="J4" s="55">
        <f>+H4*I4*15%</f>
        <v>23850</v>
      </c>
      <c r="K4" s="106"/>
      <c r="L4" s="10" t="s">
        <v>579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 t="s">
        <v>577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37" t="s">
        <v>582</v>
      </c>
      <c r="D7" s="73"/>
      <c r="E7" s="37"/>
      <c r="F7" s="37"/>
      <c r="G7" s="37"/>
      <c r="H7" s="18"/>
      <c r="I7" s="18"/>
      <c r="J7" s="18"/>
      <c r="K7" s="19"/>
      <c r="L7" s="10" t="s">
        <v>587</v>
      </c>
    </row>
    <row r="8" spans="1:16" x14ac:dyDescent="0.3">
      <c r="A8" s="49"/>
      <c r="B8" s="17" t="s">
        <v>98</v>
      </c>
      <c r="C8" s="44" t="s">
        <v>583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37" t="s">
        <v>584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37" t="s">
        <v>585</v>
      </c>
      <c r="D10" s="73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</sheetData>
  <mergeCells count="2">
    <mergeCell ref="L1:P1"/>
    <mergeCell ref="A5:B5"/>
  </mergeCells>
  <conditionalFormatting sqref="G3:G4">
    <cfRule type="cellIs" dxfId="1778" priority="6" operator="between">
      <formula>TODAY()</formula>
      <formula>TODAY()+10</formula>
    </cfRule>
  </conditionalFormatting>
  <conditionalFormatting sqref="K3:K4">
    <cfRule type="timePeriod" dxfId="1777" priority="2" timePeriod="nextWeek">
      <formula>AND(ROUNDDOWN(K3,0)-TODAY()&gt;(7-WEEKDAY(TODAY())),ROUNDDOWN(K3,0)-TODAY()&lt;(15-WEEKDAY(TODAY())))</formula>
    </cfRule>
    <cfRule type="timePeriod" dxfId="1776" priority="3" timePeriod="thisWeek">
      <formula>AND(TODAY()-ROUNDDOWN(K3,0)&lt;=WEEKDAY(TODAY())-1,ROUNDDOWN(K3,0)-TODAY()&lt;=7-WEEKDAY(TODAY()))</formula>
    </cfRule>
  </conditionalFormatting>
  <dataValidations count="4">
    <dataValidation type="list" allowBlank="1" showInputMessage="1" showErrorMessage="1" sqref="F3:F11">
      <formula1>PLAZOdePAGO2</formula1>
    </dataValidation>
    <dataValidation type="list" allowBlank="1" showInputMessage="1" showErrorMessage="1" sqref="E3:E11">
      <formula1>PLAZOdePAGO</formula1>
    </dataValidation>
    <dataValidation type="list" allowBlank="1" showInputMessage="1" showErrorMessage="1" sqref="C3:C4">
      <formula1>PROVEEDORES</formula1>
    </dataValidation>
    <dataValidation type="list" allowBlank="1" showInputMessage="1" showErrorMessage="1" sqref="B3:B4">
      <formula1>MATERIALES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C6" sqref="C6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586</v>
      </c>
      <c r="B3" s="1" t="s">
        <v>6</v>
      </c>
      <c r="C3" s="107" t="s">
        <v>17</v>
      </c>
      <c r="D3" s="109" t="s">
        <v>590</v>
      </c>
      <c r="E3" s="5">
        <v>60</v>
      </c>
      <c r="F3" s="6" t="s">
        <v>20</v>
      </c>
      <c r="G3" s="7">
        <v>43110</v>
      </c>
      <c r="H3" s="9">
        <v>150</v>
      </c>
      <c r="I3" s="8">
        <v>526</v>
      </c>
      <c r="J3" s="8">
        <f>+H3*I3*0.3</f>
        <v>23670</v>
      </c>
      <c r="K3" s="106">
        <v>43141</v>
      </c>
      <c r="L3" s="122">
        <v>0.3</v>
      </c>
      <c r="M3" s="10" t="s">
        <v>406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17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 t="s">
        <v>349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17" t="s">
        <v>81</v>
      </c>
      <c r="C7" s="37" t="s">
        <v>345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56" t="s">
        <v>98</v>
      </c>
      <c r="C8" s="44" t="s">
        <v>346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347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 t="s">
        <v>348</v>
      </c>
      <c r="D10" s="73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ht="3.75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ht="15" x14ac:dyDescent="0.25">
      <c r="A13" s="48" t="s">
        <v>436</v>
      </c>
      <c r="B13" s="1" t="s">
        <v>241</v>
      </c>
      <c r="C13" s="107" t="s">
        <v>42</v>
      </c>
      <c r="D13" s="109">
        <v>300005261</v>
      </c>
      <c r="E13" s="5" t="s">
        <v>5</v>
      </c>
      <c r="F13" s="6"/>
      <c r="G13" s="7">
        <v>43111</v>
      </c>
      <c r="H13" s="9">
        <v>200</v>
      </c>
      <c r="I13" s="8">
        <v>230</v>
      </c>
      <c r="J13" s="8">
        <f>+H13*I13</f>
        <v>46000</v>
      </c>
      <c r="K13" s="106">
        <v>43084</v>
      </c>
      <c r="L13" s="93" t="s">
        <v>406</v>
      </c>
    </row>
    <row r="14" spans="1:16" ht="18.75" x14ac:dyDescent="0.3">
      <c r="A14" s="531" t="s">
        <v>91</v>
      </c>
      <c r="B14" s="532"/>
      <c r="C14" s="13"/>
      <c r="D14" s="72"/>
      <c r="E14" s="13"/>
      <c r="F14" s="13"/>
      <c r="G14" s="13"/>
      <c r="H14" s="13"/>
      <c r="I14" s="13"/>
      <c r="J14" s="13"/>
      <c r="K14" s="14"/>
    </row>
    <row r="15" spans="1:16" x14ac:dyDescent="0.3">
      <c r="A15" s="49"/>
      <c r="B15" s="17" t="s">
        <v>76</v>
      </c>
      <c r="C15" s="37" t="s">
        <v>42</v>
      </c>
      <c r="D15" s="73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17" t="s">
        <v>78</v>
      </c>
      <c r="C16" s="37" t="s">
        <v>119</v>
      </c>
      <c r="D16" s="73"/>
      <c r="E16" s="37"/>
      <c r="F16" s="37"/>
      <c r="G16" s="37"/>
      <c r="H16" s="18"/>
      <c r="I16" s="18"/>
      <c r="J16" s="18"/>
      <c r="K16" s="19"/>
    </row>
    <row r="17" spans="1:11" x14ac:dyDescent="0.3">
      <c r="A17" s="49"/>
      <c r="B17" s="17" t="s">
        <v>81</v>
      </c>
      <c r="C17" s="37" t="s">
        <v>117</v>
      </c>
      <c r="D17" s="73"/>
      <c r="E17" s="37"/>
      <c r="F17" s="37"/>
      <c r="G17" s="37"/>
      <c r="H17" s="18"/>
      <c r="I17" s="18"/>
      <c r="J17" s="18"/>
      <c r="K17" s="19"/>
    </row>
    <row r="18" spans="1:11" x14ac:dyDescent="0.3">
      <c r="A18" s="49"/>
      <c r="B18" s="17" t="s">
        <v>98</v>
      </c>
      <c r="C18" s="44" t="s">
        <v>118</v>
      </c>
      <c r="D18" s="73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83</v>
      </c>
      <c r="C19" s="37" t="s">
        <v>116</v>
      </c>
      <c r="D19" s="73"/>
      <c r="E19" s="37"/>
      <c r="F19" s="37"/>
      <c r="G19" s="37"/>
      <c r="H19" s="18"/>
      <c r="I19" s="18"/>
      <c r="J19" s="18"/>
      <c r="K19" s="19"/>
    </row>
    <row r="20" spans="1:11" x14ac:dyDescent="0.3">
      <c r="A20" s="49"/>
      <c r="B20" s="17" t="s">
        <v>84</v>
      </c>
      <c r="C20" s="37" t="s">
        <v>114</v>
      </c>
      <c r="D20" s="73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17" t="s">
        <v>85</v>
      </c>
      <c r="C21" s="37" t="s">
        <v>115</v>
      </c>
      <c r="D21" s="73"/>
      <c r="E21" s="37"/>
      <c r="F21" s="37"/>
      <c r="G21" s="37"/>
      <c r="H21" s="18"/>
      <c r="I21" s="18"/>
      <c r="J21" s="18"/>
      <c r="K21" s="19"/>
    </row>
    <row r="22" spans="1:11" ht="15" x14ac:dyDescent="0.25">
      <c r="A22" s="50"/>
      <c r="B22" s="21"/>
      <c r="C22" s="21"/>
      <c r="D22" s="74"/>
      <c r="E22" s="21"/>
      <c r="F22" s="21"/>
      <c r="G22" s="21"/>
      <c r="H22" s="22"/>
      <c r="I22" s="22"/>
      <c r="J22" s="22"/>
      <c r="K22" s="23"/>
    </row>
  </sheetData>
  <mergeCells count="3">
    <mergeCell ref="L1:P1"/>
    <mergeCell ref="A4:B4"/>
    <mergeCell ref="A14:B14"/>
  </mergeCells>
  <conditionalFormatting sqref="G3">
    <cfRule type="cellIs" dxfId="1775" priority="13" operator="between">
      <formula>TODAY()</formula>
      <formula>TODAY()+10</formula>
    </cfRule>
  </conditionalFormatting>
  <conditionalFormatting sqref="G3">
    <cfRule type="cellIs" dxfId="1774" priority="12" operator="between">
      <formula>TODAY()</formula>
      <formula>TODAY()+10</formula>
    </cfRule>
  </conditionalFormatting>
  <conditionalFormatting sqref="G13">
    <cfRule type="cellIs" dxfId="1773" priority="1" operator="between">
      <formula>TODAY()</formula>
      <formula>TODAY()+10</formula>
    </cfRule>
  </conditionalFormatting>
  <dataValidations count="4">
    <dataValidation type="list" allowBlank="1" showInputMessage="1" showErrorMessage="1" sqref="B3 B13">
      <formula1>MATERIALES</formula1>
    </dataValidation>
    <dataValidation type="list" allowBlank="1" showInputMessage="1" showErrorMessage="1" sqref="C3 C13">
      <formula1>PROVEEDORES</formula1>
    </dataValidation>
    <dataValidation type="list" allowBlank="1" showInputMessage="1" showErrorMessage="1" sqref="E3:E11 E13:E22">
      <formula1>PLAZOdePAGO</formula1>
    </dataValidation>
    <dataValidation type="list" allowBlank="1" showInputMessage="1" showErrorMessage="1" sqref="F3:F11 F13:F22">
      <formula1>PLAZOdePAGO2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opLeftCell="A25" workbookViewId="0">
      <selection activeCell="A42" sqref="A42:XFD48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1" width="11.44140625" style="10"/>
    <col min="12" max="12" width="4.44140625" style="10" bestFit="1" customWidth="1"/>
    <col min="13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611</v>
      </c>
      <c r="B3" s="1" t="s">
        <v>14</v>
      </c>
      <c r="C3" s="107" t="s">
        <v>15</v>
      </c>
      <c r="D3" s="41">
        <v>20213</v>
      </c>
      <c r="E3" s="5" t="s">
        <v>5</v>
      </c>
      <c r="F3" s="6"/>
      <c r="G3" s="7">
        <v>43118</v>
      </c>
      <c r="H3" s="9">
        <v>51.3</v>
      </c>
      <c r="I3" s="8">
        <v>876</v>
      </c>
      <c r="J3" s="8">
        <f>+H3*I3</f>
        <v>44938.799999999996</v>
      </c>
      <c r="K3" s="106"/>
      <c r="L3" s="69" t="s">
        <v>406</v>
      </c>
    </row>
    <row r="4" spans="1:16" x14ac:dyDescent="0.3">
      <c r="A4" s="48" t="s">
        <v>612</v>
      </c>
      <c r="B4" s="1" t="s">
        <v>14</v>
      </c>
      <c r="C4" s="107" t="s">
        <v>15</v>
      </c>
      <c r="D4" s="41">
        <v>20265</v>
      </c>
      <c r="E4" s="5" t="s">
        <v>5</v>
      </c>
      <c r="F4" s="6"/>
      <c r="G4" s="7">
        <v>43118</v>
      </c>
      <c r="H4" s="9">
        <v>256.5</v>
      </c>
      <c r="I4" s="8">
        <v>876</v>
      </c>
      <c r="J4" s="8">
        <f>+H4*I4</f>
        <v>224694</v>
      </c>
      <c r="K4" s="106"/>
      <c r="L4" s="69" t="s">
        <v>406</v>
      </c>
    </row>
    <row r="5" spans="1:16" x14ac:dyDescent="0.3">
      <c r="A5" s="48" t="s">
        <v>482</v>
      </c>
      <c r="B5" s="1" t="s">
        <v>14</v>
      </c>
      <c r="C5" s="107" t="s">
        <v>15</v>
      </c>
      <c r="D5" s="41">
        <v>20215</v>
      </c>
      <c r="E5" s="5" t="s">
        <v>5</v>
      </c>
      <c r="F5" s="6"/>
      <c r="G5" s="7">
        <v>43118</v>
      </c>
      <c r="H5" s="9">
        <v>307.8</v>
      </c>
      <c r="I5" s="8">
        <v>886</v>
      </c>
      <c r="J5" s="8">
        <v>272710.8</v>
      </c>
      <c r="K5" s="106"/>
      <c r="L5" s="69" t="s">
        <v>406</v>
      </c>
    </row>
    <row r="6" spans="1:16" ht="15" x14ac:dyDescent="0.25">
      <c r="A6" s="48" t="s">
        <v>514</v>
      </c>
      <c r="B6" s="1"/>
      <c r="C6" s="107" t="s">
        <v>15</v>
      </c>
      <c r="D6" s="41" t="s">
        <v>515</v>
      </c>
      <c r="E6" s="5"/>
      <c r="F6" s="6"/>
      <c r="G6" s="7">
        <v>43118</v>
      </c>
      <c r="H6" s="9"/>
      <c r="I6" s="8"/>
      <c r="J6" s="8">
        <v>-3830</v>
      </c>
      <c r="K6" s="106"/>
      <c r="L6" s="69" t="s">
        <v>406</v>
      </c>
    </row>
    <row r="7" spans="1:16" ht="15" x14ac:dyDescent="0.25">
      <c r="A7" s="48" t="s">
        <v>514</v>
      </c>
      <c r="B7" s="1"/>
      <c r="C7" s="107" t="s">
        <v>15</v>
      </c>
      <c r="D7" s="41" t="s">
        <v>516</v>
      </c>
      <c r="E7" s="5"/>
      <c r="F7" s="6"/>
      <c r="G7" s="7">
        <v>43118</v>
      </c>
      <c r="H7" s="9"/>
      <c r="I7" s="8"/>
      <c r="J7" s="8">
        <v>-5900</v>
      </c>
      <c r="K7" s="106"/>
      <c r="L7" s="69" t="s">
        <v>406</v>
      </c>
    </row>
    <row r="8" spans="1:16" ht="18.75" x14ac:dyDescent="0.3">
      <c r="A8" s="531" t="s">
        <v>91</v>
      </c>
      <c r="B8" s="532"/>
      <c r="C8" s="13"/>
      <c r="D8" s="72"/>
      <c r="E8" s="13"/>
      <c r="F8" s="13"/>
      <c r="G8" s="13"/>
      <c r="H8" s="13"/>
      <c r="I8" s="13"/>
      <c r="J8" s="13"/>
      <c r="K8" s="14"/>
    </row>
    <row r="9" spans="1:16" x14ac:dyDescent="0.3">
      <c r="A9" s="49"/>
      <c r="B9" s="17" t="s">
        <v>76</v>
      </c>
      <c r="C9" s="37" t="s">
        <v>15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78</v>
      </c>
      <c r="C10" s="37" t="s">
        <v>227</v>
      </c>
      <c r="D10" s="73"/>
      <c r="E10" s="37"/>
      <c r="F10" s="37"/>
      <c r="G10" s="37"/>
      <c r="H10" s="18"/>
      <c r="I10" s="59"/>
      <c r="J10" s="18"/>
      <c r="K10" s="19"/>
    </row>
    <row r="11" spans="1:16" x14ac:dyDescent="0.3">
      <c r="A11" s="49"/>
      <c r="B11" s="56" t="s">
        <v>98</v>
      </c>
      <c r="C11" s="45" t="s">
        <v>387</v>
      </c>
      <c r="D11" s="73"/>
      <c r="E11" s="37"/>
      <c r="F11" s="37"/>
      <c r="G11" s="37"/>
      <c r="H11" s="18"/>
      <c r="I11" s="18"/>
      <c r="J11" s="18"/>
      <c r="K11" s="19"/>
      <c r="L11" s="108"/>
    </row>
    <row r="12" spans="1:16" x14ac:dyDescent="0.3">
      <c r="A12" s="49"/>
      <c r="B12" s="17" t="s">
        <v>78</v>
      </c>
      <c r="C12" s="17" t="s">
        <v>388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81</v>
      </c>
      <c r="C13" s="45" t="s">
        <v>389</v>
      </c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49"/>
      <c r="B14" s="17" t="s">
        <v>169</v>
      </c>
      <c r="C14" s="45" t="s">
        <v>390</v>
      </c>
      <c r="D14" s="73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17" t="s">
        <v>85</v>
      </c>
      <c r="C15" s="45" t="s">
        <v>391</v>
      </c>
      <c r="D15" s="73"/>
      <c r="E15" s="37"/>
      <c r="F15" s="37"/>
      <c r="G15" s="37"/>
      <c r="H15" s="18"/>
      <c r="I15" s="18"/>
      <c r="J15" s="18"/>
      <c r="K15" s="19"/>
    </row>
    <row r="16" spans="1:16" ht="15" x14ac:dyDescent="0.25">
      <c r="A16" s="50"/>
      <c r="B16" s="21"/>
      <c r="C16" s="21"/>
      <c r="D16" s="74"/>
      <c r="E16" s="21"/>
      <c r="F16" s="21"/>
      <c r="G16" s="21"/>
      <c r="H16" s="22"/>
      <c r="I16" s="22"/>
      <c r="J16" s="22"/>
      <c r="K16" s="23"/>
    </row>
    <row r="17" spans="1:12" ht="3.75" customHeight="1" x14ac:dyDescent="0.25">
      <c r="A17" s="47"/>
      <c r="B17" s="24"/>
      <c r="C17" s="24"/>
      <c r="D17" s="71"/>
      <c r="E17" s="24"/>
      <c r="F17" s="24"/>
      <c r="G17" s="24"/>
      <c r="H17" s="24"/>
      <c r="I17" s="24"/>
      <c r="J17" s="24"/>
      <c r="K17" s="24"/>
    </row>
    <row r="18" spans="1:12" x14ac:dyDescent="0.3">
      <c r="A18" s="48" t="s">
        <v>263</v>
      </c>
      <c r="B18" s="1" t="s">
        <v>241</v>
      </c>
      <c r="C18" s="107" t="s">
        <v>42</v>
      </c>
      <c r="D18" s="41">
        <v>300002954</v>
      </c>
      <c r="E18" s="5">
        <v>90</v>
      </c>
      <c r="F18" s="6" t="s">
        <v>20</v>
      </c>
      <c r="G18" s="7">
        <v>43119</v>
      </c>
      <c r="H18" s="9">
        <v>195.84</v>
      </c>
      <c r="I18" s="8">
        <v>280</v>
      </c>
      <c r="J18" s="8">
        <v>54835.200000000004</v>
      </c>
      <c r="K18" s="106">
        <v>43025</v>
      </c>
      <c r="L18" s="69" t="s">
        <v>406</v>
      </c>
    </row>
    <row r="19" spans="1:12" x14ac:dyDescent="0.3">
      <c r="A19" s="48" t="s">
        <v>264</v>
      </c>
      <c r="B19" s="1" t="s">
        <v>241</v>
      </c>
      <c r="C19" s="107" t="s">
        <v>42</v>
      </c>
      <c r="D19" s="41">
        <v>300003215</v>
      </c>
      <c r="E19" s="5">
        <v>90</v>
      </c>
      <c r="F19" s="6" t="s">
        <v>20</v>
      </c>
      <c r="G19" s="7">
        <v>43119</v>
      </c>
      <c r="H19" s="9">
        <v>99.88</v>
      </c>
      <c r="I19" s="8">
        <v>280</v>
      </c>
      <c r="J19" s="8">
        <v>27966.399999999998</v>
      </c>
      <c r="K19" s="106">
        <v>43032</v>
      </c>
      <c r="L19" s="69" t="s">
        <v>406</v>
      </c>
    </row>
    <row r="20" spans="1:12" ht="18.75" x14ac:dyDescent="0.3">
      <c r="A20" s="531" t="s">
        <v>91</v>
      </c>
      <c r="B20" s="532"/>
      <c r="C20" s="13"/>
      <c r="D20" s="72"/>
      <c r="E20" s="13"/>
      <c r="F20" s="13"/>
      <c r="G20" s="13"/>
      <c r="H20" s="13"/>
      <c r="I20" s="13"/>
      <c r="J20" s="13"/>
      <c r="K20" s="14"/>
    </row>
    <row r="21" spans="1:12" x14ac:dyDescent="0.3">
      <c r="A21" s="49"/>
      <c r="B21" s="17" t="s">
        <v>76</v>
      </c>
      <c r="C21" s="37" t="s">
        <v>42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78</v>
      </c>
      <c r="C22" s="37" t="s">
        <v>119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81</v>
      </c>
      <c r="C23" s="37" t="s">
        <v>117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98</v>
      </c>
      <c r="C24" s="44" t="s">
        <v>118</v>
      </c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83</v>
      </c>
      <c r="C25" s="37" t="s">
        <v>116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84</v>
      </c>
      <c r="C26" s="37" t="s">
        <v>114</v>
      </c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85</v>
      </c>
      <c r="C27" s="37" t="s">
        <v>115</v>
      </c>
      <c r="D27" s="73"/>
      <c r="E27" s="37"/>
      <c r="F27" s="37"/>
      <c r="G27" s="37"/>
      <c r="H27" s="18"/>
      <c r="I27" s="18"/>
      <c r="J27" s="18"/>
      <c r="K27" s="19"/>
    </row>
    <row r="28" spans="1:12" ht="15" x14ac:dyDescent="0.25">
      <c r="A28" s="50"/>
      <c r="B28" s="21"/>
      <c r="C28" s="21"/>
      <c r="D28" s="74"/>
      <c r="E28" s="21"/>
      <c r="F28" s="21"/>
      <c r="G28" s="21"/>
      <c r="H28" s="22"/>
      <c r="I28" s="22"/>
      <c r="J28" s="22"/>
      <c r="K28" s="23"/>
    </row>
    <row r="29" spans="1:12" ht="3.75" customHeight="1" x14ac:dyDescent="0.25">
      <c r="A29" s="47"/>
      <c r="B29" s="24"/>
      <c r="C29" s="24"/>
      <c r="D29" s="71"/>
      <c r="E29" s="24"/>
      <c r="F29" s="24"/>
      <c r="G29" s="24"/>
      <c r="H29" s="24"/>
      <c r="I29" s="24"/>
      <c r="J29" s="24"/>
      <c r="K29" s="24"/>
    </row>
    <row r="30" spans="1:12" x14ac:dyDescent="0.3">
      <c r="A30" s="48" t="s">
        <v>322</v>
      </c>
      <c r="B30" s="1" t="s">
        <v>326</v>
      </c>
      <c r="C30" s="107" t="s">
        <v>327</v>
      </c>
      <c r="D30" s="41" t="s">
        <v>455</v>
      </c>
      <c r="E30" s="5">
        <v>90</v>
      </c>
      <c r="F30" s="6" t="s">
        <v>20</v>
      </c>
      <c r="G30" s="7">
        <v>43119</v>
      </c>
      <c r="H30" s="9">
        <v>100</v>
      </c>
      <c r="I30" s="8">
        <v>486</v>
      </c>
      <c r="J30" s="8">
        <f>+H30*I30</f>
        <v>48600</v>
      </c>
      <c r="K30" s="106">
        <v>43024</v>
      </c>
      <c r="L30" s="69" t="s">
        <v>406</v>
      </c>
    </row>
    <row r="31" spans="1:12" ht="18.75" x14ac:dyDescent="0.3">
      <c r="A31" s="531" t="s">
        <v>91</v>
      </c>
      <c r="B31" s="532"/>
      <c r="C31" s="13"/>
      <c r="D31" s="72"/>
      <c r="E31" s="13"/>
      <c r="F31" s="13"/>
      <c r="G31" s="13"/>
      <c r="H31" s="13"/>
      <c r="I31" s="13"/>
      <c r="J31" s="13"/>
      <c r="K31" s="14"/>
    </row>
    <row r="32" spans="1:12" x14ac:dyDescent="0.3">
      <c r="A32" s="49"/>
      <c r="B32" s="17" t="s">
        <v>76</v>
      </c>
      <c r="C32" s="37"/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78</v>
      </c>
      <c r="C33" s="37"/>
      <c r="D33" s="73"/>
      <c r="E33" s="37"/>
      <c r="F33" s="37"/>
      <c r="G33" s="37"/>
      <c r="H33" s="18"/>
      <c r="I33" s="18"/>
      <c r="J33" s="18"/>
      <c r="K33" s="19"/>
    </row>
    <row r="34" spans="1:12" x14ac:dyDescent="0.3">
      <c r="A34" s="49"/>
      <c r="B34" s="17" t="s">
        <v>81</v>
      </c>
      <c r="C34" s="37"/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98</v>
      </c>
      <c r="C35" s="44"/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83</v>
      </c>
      <c r="C36" s="37"/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49"/>
      <c r="B37" s="17" t="s">
        <v>84</v>
      </c>
      <c r="C37" s="37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85</v>
      </c>
      <c r="C38" s="37"/>
      <c r="D38" s="73"/>
      <c r="E38" s="37"/>
      <c r="F38" s="37"/>
      <c r="G38" s="37"/>
      <c r="H38" s="18"/>
      <c r="I38" s="18"/>
      <c r="J38" s="18"/>
      <c r="K38" s="19"/>
    </row>
    <row r="39" spans="1:12" ht="15" x14ac:dyDescent="0.25">
      <c r="A39" s="50"/>
      <c r="B39" s="21"/>
      <c r="C39" s="21"/>
      <c r="D39" s="74"/>
      <c r="E39" s="21"/>
      <c r="F39" s="21"/>
      <c r="G39" s="21"/>
      <c r="H39" s="22"/>
      <c r="I39" s="22"/>
      <c r="J39" s="22"/>
      <c r="K39" s="23"/>
    </row>
    <row r="40" spans="1:12" ht="3.75" customHeight="1" x14ac:dyDescent="0.25">
      <c r="A40" s="47"/>
      <c r="B40" s="24"/>
      <c r="C40" s="24"/>
      <c r="D40" s="71"/>
      <c r="E40" s="24"/>
      <c r="F40" s="24"/>
      <c r="G40" s="24"/>
      <c r="H40" s="24"/>
      <c r="I40" s="24"/>
      <c r="J40" s="24"/>
      <c r="K40" s="24"/>
    </row>
    <row r="41" spans="1:12" x14ac:dyDescent="0.3">
      <c r="A41" s="48" t="s">
        <v>355</v>
      </c>
      <c r="B41" s="1" t="s">
        <v>360</v>
      </c>
      <c r="C41" s="107" t="s">
        <v>361</v>
      </c>
      <c r="D41" s="41">
        <v>201752573</v>
      </c>
      <c r="E41" s="5">
        <v>90</v>
      </c>
      <c r="F41" s="6" t="s">
        <v>20</v>
      </c>
      <c r="G41" s="7">
        <v>43119</v>
      </c>
      <c r="H41" s="9">
        <v>24</v>
      </c>
      <c r="I41" s="8">
        <v>1250</v>
      </c>
      <c r="J41" s="8">
        <f>+H41*I41</f>
        <v>30000</v>
      </c>
      <c r="K41" s="106">
        <v>43028</v>
      </c>
      <c r="L41" s="69" t="s">
        <v>406</v>
      </c>
    </row>
    <row r="42" spans="1:12" ht="18.75" x14ac:dyDescent="0.3">
      <c r="A42" s="531" t="s">
        <v>91</v>
      </c>
      <c r="B42" s="532"/>
      <c r="C42" s="13"/>
      <c r="D42" s="72"/>
      <c r="E42" s="13"/>
      <c r="F42" s="13"/>
      <c r="G42" s="13"/>
      <c r="H42" s="13"/>
      <c r="I42" s="13"/>
      <c r="J42" s="13"/>
      <c r="K42" s="14"/>
    </row>
    <row r="43" spans="1:12" x14ac:dyDescent="0.3">
      <c r="A43" s="49"/>
      <c r="B43" s="17" t="s">
        <v>76</v>
      </c>
      <c r="C43" s="37" t="s">
        <v>606</v>
      </c>
      <c r="D43" s="73"/>
      <c r="E43" s="37"/>
      <c r="F43" s="37"/>
      <c r="G43" s="37"/>
      <c r="H43" s="18"/>
      <c r="I43" s="18"/>
      <c r="J43" s="18"/>
      <c r="K43" s="19"/>
    </row>
    <row r="44" spans="1:12" x14ac:dyDescent="0.3">
      <c r="A44" s="49"/>
      <c r="B44" s="17" t="s">
        <v>78</v>
      </c>
      <c r="C44" s="37" t="s">
        <v>607</v>
      </c>
      <c r="D44" s="73"/>
      <c r="E44" s="37"/>
      <c r="F44" s="37"/>
      <c r="G44" s="37"/>
      <c r="H44" s="18"/>
      <c r="I44" s="18"/>
      <c r="J44" s="18"/>
      <c r="K44" s="19"/>
    </row>
    <row r="45" spans="1:12" x14ac:dyDescent="0.3">
      <c r="A45" s="49"/>
      <c r="B45" s="17" t="s">
        <v>81</v>
      </c>
      <c r="C45" s="37" t="s">
        <v>608</v>
      </c>
      <c r="D45" s="73"/>
      <c r="E45" s="37"/>
      <c r="F45" s="37"/>
      <c r="G45" s="37"/>
      <c r="H45" s="18"/>
      <c r="I45" s="18"/>
      <c r="J45" s="18"/>
      <c r="K45" s="19"/>
    </row>
    <row r="46" spans="1:12" x14ac:dyDescent="0.3">
      <c r="A46" s="49"/>
      <c r="B46" s="17" t="s">
        <v>98</v>
      </c>
      <c r="C46" s="44" t="s">
        <v>609</v>
      </c>
      <c r="D46" s="73"/>
      <c r="E46" s="37"/>
      <c r="F46" s="37"/>
      <c r="G46" s="37"/>
      <c r="H46" s="18"/>
      <c r="I46" s="18"/>
      <c r="J46" s="18"/>
      <c r="K46" s="19"/>
    </row>
    <row r="47" spans="1:12" x14ac:dyDescent="0.3">
      <c r="A47" s="49"/>
      <c r="B47" s="17" t="s">
        <v>84</v>
      </c>
      <c r="C47" s="44" t="s">
        <v>610</v>
      </c>
      <c r="D47" s="73"/>
      <c r="E47" s="37"/>
      <c r="F47" s="37"/>
      <c r="G47" s="37"/>
      <c r="H47" s="18"/>
      <c r="I47" s="18"/>
      <c r="J47" s="18"/>
      <c r="K47" s="19"/>
    </row>
    <row r="48" spans="1:12" ht="15" x14ac:dyDescent="0.25">
      <c r="A48" s="50"/>
      <c r="B48" s="21"/>
      <c r="C48" s="21"/>
      <c r="D48" s="74"/>
      <c r="E48" s="21"/>
      <c r="F48" s="21"/>
      <c r="G48" s="21"/>
      <c r="H48" s="22"/>
      <c r="I48" s="22"/>
      <c r="J48" s="22"/>
      <c r="K48" s="23"/>
    </row>
    <row r="49" spans="1:13" ht="3.75" customHeight="1" x14ac:dyDescent="0.25">
      <c r="A49" s="47"/>
      <c r="B49" s="24"/>
      <c r="C49" s="24"/>
      <c r="D49" s="71"/>
      <c r="E49" s="24"/>
      <c r="F49" s="24"/>
      <c r="G49" s="24"/>
      <c r="H49" s="24"/>
      <c r="I49" s="24"/>
      <c r="J49" s="24"/>
      <c r="K49" s="24"/>
    </row>
    <row r="50" spans="1:13" x14ac:dyDescent="0.3">
      <c r="A50" s="48" t="s">
        <v>604</v>
      </c>
      <c r="B50" s="1" t="s">
        <v>6</v>
      </c>
      <c r="C50" s="107" t="s">
        <v>17</v>
      </c>
      <c r="D50" s="41"/>
      <c r="E50" s="5" t="s">
        <v>5</v>
      </c>
      <c r="F50" s="6" t="s">
        <v>20</v>
      </c>
      <c r="G50" s="7">
        <v>43116</v>
      </c>
      <c r="H50" s="9">
        <v>500</v>
      </c>
      <c r="I50" s="8">
        <v>501</v>
      </c>
      <c r="J50" s="8">
        <f>+H50*I50*0.3</f>
        <v>75150</v>
      </c>
      <c r="K50" s="106">
        <v>43141</v>
      </c>
      <c r="L50" s="123">
        <v>0.3</v>
      </c>
      <c r="M50" s="10" t="s">
        <v>406</v>
      </c>
    </row>
    <row r="51" spans="1:13" ht="18.75" x14ac:dyDescent="0.3">
      <c r="A51" s="531" t="s">
        <v>91</v>
      </c>
      <c r="B51" s="532"/>
      <c r="C51" s="13"/>
      <c r="D51" s="72"/>
      <c r="E51" s="13"/>
      <c r="F51" s="13"/>
      <c r="G51" s="13"/>
      <c r="H51" s="13"/>
      <c r="I51" s="13"/>
      <c r="J51" s="13"/>
      <c r="K51" s="14"/>
    </row>
    <row r="52" spans="1:13" x14ac:dyDescent="0.3">
      <c r="A52" s="49"/>
      <c r="B52" s="17" t="s">
        <v>76</v>
      </c>
      <c r="C52" s="37" t="s">
        <v>17</v>
      </c>
      <c r="D52" s="73"/>
      <c r="E52" s="37"/>
      <c r="F52" s="37"/>
      <c r="G52" s="37"/>
      <c r="H52" s="18"/>
      <c r="I52" s="18"/>
      <c r="J52" s="18"/>
      <c r="K52" s="19"/>
    </row>
    <row r="53" spans="1:13" x14ac:dyDescent="0.3">
      <c r="A53" s="49"/>
      <c r="B53" s="17" t="s">
        <v>83</v>
      </c>
      <c r="C53" s="37" t="s">
        <v>349</v>
      </c>
      <c r="D53" s="73"/>
      <c r="E53" s="37"/>
      <c r="F53" s="37"/>
      <c r="G53" s="37"/>
      <c r="H53" s="18"/>
      <c r="I53" s="59"/>
      <c r="J53" s="18"/>
      <c r="K53" s="19"/>
    </row>
    <row r="54" spans="1:13" x14ac:dyDescent="0.3">
      <c r="A54" s="49"/>
      <c r="B54" s="17" t="s">
        <v>81</v>
      </c>
      <c r="C54" s="37" t="s">
        <v>345</v>
      </c>
      <c r="D54" s="73"/>
      <c r="E54" s="37"/>
      <c r="F54" s="37"/>
      <c r="G54" s="37"/>
      <c r="H54" s="18"/>
      <c r="I54" s="18"/>
      <c r="J54" s="18"/>
      <c r="K54" s="19"/>
    </row>
    <row r="55" spans="1:13" x14ac:dyDescent="0.3">
      <c r="A55" s="49"/>
      <c r="B55" s="56" t="s">
        <v>98</v>
      </c>
      <c r="C55" s="44" t="s">
        <v>346</v>
      </c>
      <c r="D55" s="73"/>
      <c r="E55" s="37"/>
      <c r="F55" s="37"/>
      <c r="G55" s="37"/>
      <c r="H55" s="18"/>
      <c r="I55" s="18"/>
      <c r="J55" s="18"/>
      <c r="K55" s="19"/>
    </row>
    <row r="56" spans="1:13" x14ac:dyDescent="0.3">
      <c r="A56" s="49"/>
      <c r="B56" s="17" t="s">
        <v>84</v>
      </c>
      <c r="C56" s="44" t="s">
        <v>347</v>
      </c>
      <c r="D56" s="73"/>
      <c r="E56" s="37"/>
      <c r="F56" s="37"/>
      <c r="G56" s="37"/>
      <c r="H56" s="18"/>
      <c r="I56" s="18"/>
      <c r="J56" s="18"/>
      <c r="K56" s="19"/>
    </row>
    <row r="57" spans="1:13" x14ac:dyDescent="0.3">
      <c r="A57" s="49"/>
      <c r="B57" s="17" t="s">
        <v>85</v>
      </c>
      <c r="C57" s="44" t="s">
        <v>348</v>
      </c>
      <c r="D57" s="73"/>
      <c r="E57" s="37"/>
      <c r="F57" s="37"/>
      <c r="G57" s="37"/>
      <c r="H57" s="18"/>
      <c r="I57" s="18"/>
      <c r="J57" s="18"/>
      <c r="K57" s="19"/>
    </row>
    <row r="58" spans="1:13" x14ac:dyDescent="0.3">
      <c r="A58" s="50"/>
      <c r="B58" s="21"/>
      <c r="C58" s="21"/>
      <c r="D58" s="74"/>
      <c r="E58" s="21"/>
      <c r="F58" s="21"/>
      <c r="G58" s="21"/>
      <c r="H58" s="22"/>
      <c r="I58" s="22"/>
      <c r="J58" s="22"/>
      <c r="K58" s="23"/>
    </row>
  </sheetData>
  <mergeCells count="6">
    <mergeCell ref="A51:B51"/>
    <mergeCell ref="L1:P1"/>
    <mergeCell ref="A8:B8"/>
    <mergeCell ref="A20:B20"/>
    <mergeCell ref="A31:B31"/>
    <mergeCell ref="A42:B42"/>
  </mergeCells>
  <conditionalFormatting sqref="G18:G19">
    <cfRule type="cellIs" dxfId="1772" priority="53" operator="between">
      <formula>TODAY()</formula>
      <formula>TODAY()+10</formula>
    </cfRule>
  </conditionalFormatting>
  <conditionalFormatting sqref="G3 G5:G7">
    <cfRule type="cellIs" dxfId="1771" priority="42" operator="between">
      <formula>TODAY()</formula>
      <formula>TODAY()+10</formula>
    </cfRule>
  </conditionalFormatting>
  <conditionalFormatting sqref="G3 G5:G7">
    <cfRule type="cellIs" dxfId="1770" priority="41" operator="between">
      <formula>TODAY()</formula>
      <formula>TODAY()+10</formula>
    </cfRule>
  </conditionalFormatting>
  <conditionalFormatting sqref="G50">
    <cfRule type="cellIs" dxfId="1769" priority="16" operator="between">
      <formula>TODAY()</formula>
      <formula>TODAY()+10</formula>
    </cfRule>
  </conditionalFormatting>
  <conditionalFormatting sqref="G50">
    <cfRule type="cellIs" dxfId="1768" priority="15" operator="between">
      <formula>TODAY()</formula>
      <formula>TODAY()+10</formula>
    </cfRule>
  </conditionalFormatting>
  <conditionalFormatting sqref="G30">
    <cfRule type="cellIs" dxfId="1767" priority="8" operator="between">
      <formula>TODAY()</formula>
      <formula>TODAY()+10</formula>
    </cfRule>
  </conditionalFormatting>
  <conditionalFormatting sqref="G41">
    <cfRule type="cellIs" dxfId="1766" priority="7" operator="between">
      <formula>TODAY()</formula>
      <formula>TODAY()+10</formula>
    </cfRule>
  </conditionalFormatting>
  <conditionalFormatting sqref="G4">
    <cfRule type="cellIs" dxfId="1765" priority="1" operator="between">
      <formula>TODAY()</formula>
      <formula>TODAY()+10</formula>
    </cfRule>
  </conditionalFormatting>
  <conditionalFormatting sqref="G4">
    <cfRule type="cellIs" dxfId="1764" priority="2" operator="between">
      <formula>TODAY()</formula>
      <formula>TODAY()+10</formula>
    </cfRule>
  </conditionalFormatting>
  <dataValidations count="4">
    <dataValidation type="list" allowBlank="1" showInputMessage="1" showErrorMessage="1" sqref="F16 F50:F58 F31:F39 F18:F28 F42:F48 F3:F5">
      <formula1>PLAZOdePAGO2</formula1>
    </dataValidation>
    <dataValidation type="list" allowBlank="1" showInputMessage="1" showErrorMessage="1" sqref="E16 E50:E58 E31:E39 E18:E28 E42:E48 E3:E5">
      <formula1>PLAZOdePAGO</formula1>
    </dataValidation>
    <dataValidation type="list" allowBlank="1" showInputMessage="1" showErrorMessage="1" sqref="C50 C41 C3:C5">
      <formula1>PROVEEDORES</formula1>
    </dataValidation>
    <dataValidation type="list" allowBlank="1" showInputMessage="1" showErrorMessage="1" sqref="B50 B41 B3:B5">
      <formula1>MATERIALES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6"/>
  <sheetViews>
    <sheetView showGridLines="0" tabSelected="1" zoomScale="110" zoomScaleNormal="110" workbookViewId="0">
      <pane ySplit="1" topLeftCell="A26" activePane="bottomLeft" state="frozen"/>
      <selection pane="bottomLeft" activeCell="B58" sqref="B58"/>
    </sheetView>
  </sheetViews>
  <sheetFormatPr baseColWidth="10" defaultColWidth="11.44140625" defaultRowHeight="14.4" x14ac:dyDescent="0.3"/>
  <cols>
    <col min="1" max="1" width="10.6640625" style="250" customWidth="1"/>
    <col min="2" max="2" width="37.6640625" style="250" customWidth="1"/>
    <col min="3" max="3" width="19.6640625" style="250" customWidth="1"/>
    <col min="4" max="4" width="19.109375" style="76" customWidth="1"/>
    <col min="5" max="5" width="3.5546875" style="250" customWidth="1"/>
    <col min="6" max="6" width="10.5546875" style="250" customWidth="1"/>
    <col min="7" max="7" width="11.33203125" style="76" hidden="1" customWidth="1"/>
    <col min="8" max="8" width="10.6640625" style="76" hidden="1" customWidth="1"/>
    <col min="9" max="9" width="11.33203125" style="76" hidden="1" customWidth="1"/>
    <col min="10" max="10" width="11.33203125" style="351" hidden="1" customWidth="1"/>
    <col min="11" max="11" width="11.33203125" style="365" customWidth="1"/>
    <col min="12" max="12" width="9.5546875" style="351" customWidth="1"/>
    <col min="13" max="13" width="8.5546875" style="351" customWidth="1"/>
    <col min="14" max="14" width="13.44140625" style="351" bestFit="1" customWidth="1"/>
    <col min="15" max="15" width="13.44140625" style="351" customWidth="1"/>
    <col min="16" max="16" width="28.21875" style="91" customWidth="1"/>
    <col min="17" max="17" width="9.5546875" style="250" customWidth="1"/>
    <col min="18" max="18" width="17.33203125" style="250" bestFit="1" customWidth="1"/>
    <col min="19" max="19" width="9.44140625" style="250" customWidth="1"/>
    <col min="20" max="20" width="10.5546875" style="250" customWidth="1"/>
    <col min="21" max="22" width="11.44140625" style="250" customWidth="1"/>
    <col min="23" max="23" width="9.5546875" style="250" bestFit="1" customWidth="1"/>
    <col min="24" max="16384" width="11.44140625" style="250"/>
  </cols>
  <sheetData>
    <row r="1" spans="1:22" ht="34.950000000000003" customHeight="1" x14ac:dyDescent="0.3">
      <c r="A1" s="309" t="s">
        <v>0</v>
      </c>
      <c r="B1" s="309" t="s">
        <v>1</v>
      </c>
      <c r="C1" s="237" t="s">
        <v>2</v>
      </c>
      <c r="D1" s="238" t="s">
        <v>111</v>
      </c>
      <c r="E1" s="238" t="s">
        <v>21</v>
      </c>
      <c r="F1" s="240" t="s">
        <v>22</v>
      </c>
      <c r="G1" s="240" t="s">
        <v>3430</v>
      </c>
      <c r="H1" s="240" t="s">
        <v>3438</v>
      </c>
      <c r="I1" s="240" t="s">
        <v>3435</v>
      </c>
      <c r="J1" s="240" t="s">
        <v>3431</v>
      </c>
      <c r="K1" s="240" t="s">
        <v>3</v>
      </c>
      <c r="L1" s="242" t="s">
        <v>19</v>
      </c>
      <c r="M1" s="242" t="s">
        <v>23</v>
      </c>
      <c r="N1" s="242" t="s">
        <v>75</v>
      </c>
      <c r="O1" s="242" t="s">
        <v>159</v>
      </c>
      <c r="P1" s="242" t="s">
        <v>337</v>
      </c>
      <c r="Q1" s="323" t="s">
        <v>2016</v>
      </c>
      <c r="R1" s="239" t="s">
        <v>1332</v>
      </c>
      <c r="S1" s="239" t="s">
        <v>1333</v>
      </c>
    </row>
    <row r="2" spans="1:22" ht="14.85" customHeight="1" x14ac:dyDescent="0.3">
      <c r="A2" s="253" t="s">
        <v>1591</v>
      </c>
      <c r="B2" s="262" t="s">
        <v>1604</v>
      </c>
      <c r="C2" s="254" t="s">
        <v>1091</v>
      </c>
      <c r="D2" s="289" t="s">
        <v>1734</v>
      </c>
      <c r="E2" s="263">
        <v>150</v>
      </c>
      <c r="F2" s="264" t="s">
        <v>20</v>
      </c>
      <c r="G2" s="436">
        <f t="shared" ref="G2:G41" si="0">+YEAR(K2)</f>
        <v>2020</v>
      </c>
      <c r="H2" s="435" t="str">
        <f>+VLOOKUP(I2,U:V,2,0)</f>
        <v>SETIEMBRE</v>
      </c>
      <c r="I2" s="435">
        <f t="shared" ref="I2:I41" si="1">+MONTH(K2)</f>
        <v>9</v>
      </c>
      <c r="J2" s="435">
        <f t="shared" ref="J2:J41" si="2">+WEEKNUM(K2,1)</f>
        <v>37</v>
      </c>
      <c r="K2" s="353">
        <f t="shared" ref="K2:K14" si="3">+O2+E2</f>
        <v>44084</v>
      </c>
      <c r="L2" s="255">
        <v>0.94247999999999998</v>
      </c>
      <c r="M2" s="354">
        <v>8631.0748262048255</v>
      </c>
      <c r="N2" s="128">
        <f>+M2*L2</f>
        <v>8134.6154022015235</v>
      </c>
      <c r="O2" s="359">
        <v>43934</v>
      </c>
      <c r="P2" s="220" t="s">
        <v>1697</v>
      </c>
      <c r="Q2" s="241">
        <v>44082</v>
      </c>
      <c r="R2" s="241"/>
      <c r="S2" s="241"/>
      <c r="U2" s="250">
        <f t="shared" ref="U2:U13" si="4">+U1+1</f>
        <v>1</v>
      </c>
      <c r="V2" s="250" t="s">
        <v>3437</v>
      </c>
    </row>
    <row r="3" spans="1:22" ht="14.85" customHeight="1" x14ac:dyDescent="0.3">
      <c r="A3" s="253" t="s">
        <v>1593</v>
      </c>
      <c r="B3" s="262" t="s">
        <v>1606</v>
      </c>
      <c r="C3" s="254" t="s">
        <v>1091</v>
      </c>
      <c r="D3" s="289" t="s">
        <v>1734</v>
      </c>
      <c r="E3" s="263">
        <v>150</v>
      </c>
      <c r="F3" s="264" t="s">
        <v>20</v>
      </c>
      <c r="G3" s="436">
        <f t="shared" si="0"/>
        <v>2020</v>
      </c>
      <c r="H3" s="435" t="str">
        <f>+VLOOKUP(I3,U:V,2,0)</f>
        <v>SETIEMBRE</v>
      </c>
      <c r="I3" s="435">
        <f t="shared" si="1"/>
        <v>9</v>
      </c>
      <c r="J3" s="435">
        <f t="shared" si="2"/>
        <v>37</v>
      </c>
      <c r="K3" s="353">
        <f t="shared" si="3"/>
        <v>44084</v>
      </c>
      <c r="L3" s="255">
        <v>0.72072000000000003</v>
      </c>
      <c r="M3" s="354">
        <v>7440.636311190925</v>
      </c>
      <c r="N3" s="128">
        <f>+M3*L3</f>
        <v>5362.6154022015235</v>
      </c>
      <c r="O3" s="359">
        <v>43934</v>
      </c>
      <c r="P3" s="220" t="s">
        <v>1697</v>
      </c>
      <c r="Q3" s="241">
        <v>44082</v>
      </c>
      <c r="R3" s="241"/>
      <c r="S3" s="241"/>
      <c r="U3" s="351">
        <f t="shared" si="4"/>
        <v>2</v>
      </c>
      <c r="V3" s="351" t="s">
        <v>1535</v>
      </c>
    </row>
    <row r="4" spans="1:22" ht="15" customHeight="1" x14ac:dyDescent="0.3">
      <c r="A4" s="253" t="s">
        <v>1594</v>
      </c>
      <c r="B4" s="262" t="s">
        <v>1607</v>
      </c>
      <c r="C4" s="254" t="s">
        <v>1091</v>
      </c>
      <c r="D4" s="289" t="s">
        <v>1734</v>
      </c>
      <c r="E4" s="263">
        <v>150</v>
      </c>
      <c r="F4" s="264" t="s">
        <v>20</v>
      </c>
      <c r="G4" s="436">
        <f t="shared" si="0"/>
        <v>2020</v>
      </c>
      <c r="H4" s="435" t="str">
        <f>+VLOOKUP(I4,U:V,2,0)</f>
        <v>SETIEMBRE</v>
      </c>
      <c r="I4" s="435">
        <f t="shared" si="1"/>
        <v>9</v>
      </c>
      <c r="J4" s="435">
        <f t="shared" si="2"/>
        <v>37</v>
      </c>
      <c r="K4" s="353">
        <f t="shared" si="3"/>
        <v>44084</v>
      </c>
      <c r="L4" s="255">
        <v>0.99</v>
      </c>
      <c r="M4" s="354">
        <v>9776.7832345469924</v>
      </c>
      <c r="N4" s="128">
        <f>+M4*L4</f>
        <v>9679.0154022015231</v>
      </c>
      <c r="O4" s="359">
        <v>43934</v>
      </c>
      <c r="P4" s="220" t="s">
        <v>1697</v>
      </c>
      <c r="Q4" s="241">
        <v>44082</v>
      </c>
      <c r="R4" s="241"/>
      <c r="S4" s="241"/>
      <c r="U4" s="351">
        <f t="shared" si="4"/>
        <v>3</v>
      </c>
      <c r="V4" s="351" t="s">
        <v>30</v>
      </c>
    </row>
    <row r="5" spans="1:22" s="351" customFormat="1" ht="15.75" customHeight="1" x14ac:dyDescent="0.3">
      <c r="A5" s="356" t="s">
        <v>3192</v>
      </c>
      <c r="B5" s="262" t="s">
        <v>1292</v>
      </c>
      <c r="C5" s="357" t="s">
        <v>280</v>
      </c>
      <c r="D5" s="289" t="s">
        <v>3400</v>
      </c>
      <c r="E5" s="361">
        <v>90</v>
      </c>
      <c r="F5" s="358" t="s">
        <v>20</v>
      </c>
      <c r="G5" s="436">
        <f t="shared" si="0"/>
        <v>2022</v>
      </c>
      <c r="H5" s="435" t="str">
        <f>+VLOOKUP(I5,U:V,2,0)</f>
        <v>MARZO</v>
      </c>
      <c r="I5" s="435">
        <f t="shared" si="1"/>
        <v>3</v>
      </c>
      <c r="J5" s="435">
        <f t="shared" si="2"/>
        <v>14</v>
      </c>
      <c r="K5" s="353">
        <f t="shared" si="3"/>
        <v>44650</v>
      </c>
      <c r="L5" s="360">
        <v>500</v>
      </c>
      <c r="M5" s="354">
        <v>101</v>
      </c>
      <c r="N5" s="128">
        <f>+M5*L5</f>
        <v>50500</v>
      </c>
      <c r="O5" s="359">
        <v>44560</v>
      </c>
      <c r="P5" s="322"/>
      <c r="Q5" s="241"/>
      <c r="R5" s="241"/>
      <c r="S5" s="241"/>
      <c r="U5" s="351">
        <f t="shared" si="4"/>
        <v>4</v>
      </c>
      <c r="V5" s="351" t="s">
        <v>31</v>
      </c>
    </row>
    <row r="6" spans="1:22" s="351" customFormat="1" ht="15.75" customHeight="1" x14ac:dyDescent="0.3">
      <c r="A6" s="356" t="s">
        <v>2971</v>
      </c>
      <c r="B6" s="262" t="s">
        <v>1325</v>
      </c>
      <c r="C6" s="357" t="s">
        <v>928</v>
      </c>
      <c r="D6" s="355"/>
      <c r="E6" s="361">
        <v>90</v>
      </c>
      <c r="F6" s="358" t="s">
        <v>20</v>
      </c>
      <c r="G6" s="436">
        <f t="shared" si="0"/>
        <v>2022</v>
      </c>
      <c r="H6" s="435" t="str">
        <f>+VLOOKUP(I6,U:V,2,0)</f>
        <v>MAYO</v>
      </c>
      <c r="I6" s="435">
        <f t="shared" si="1"/>
        <v>5</v>
      </c>
      <c r="J6" s="435">
        <f t="shared" si="2"/>
        <v>21</v>
      </c>
      <c r="K6" s="353">
        <f t="shared" si="3"/>
        <v>44702</v>
      </c>
      <c r="L6" s="360">
        <v>300</v>
      </c>
      <c r="M6" s="354">
        <v>1150</v>
      </c>
      <c r="N6" s="128">
        <f>+M6*L6*0.2</f>
        <v>69000</v>
      </c>
      <c r="O6" s="359">
        <v>44612</v>
      </c>
      <c r="P6" s="322"/>
      <c r="Q6" s="241"/>
      <c r="R6" s="241"/>
      <c r="S6" s="241"/>
      <c r="U6" s="351">
        <f t="shared" si="4"/>
        <v>5</v>
      </c>
      <c r="V6" s="351" t="s">
        <v>34</v>
      </c>
    </row>
    <row r="7" spans="1:22" s="351" customFormat="1" ht="15.75" customHeight="1" x14ac:dyDescent="0.3">
      <c r="A7" s="356" t="s">
        <v>2972</v>
      </c>
      <c r="B7" s="262" t="s">
        <v>1325</v>
      </c>
      <c r="C7" s="357" t="s">
        <v>928</v>
      </c>
      <c r="D7" s="355"/>
      <c r="E7" s="361">
        <v>90</v>
      </c>
      <c r="F7" s="358" t="s">
        <v>20</v>
      </c>
      <c r="G7" s="436">
        <f t="shared" si="0"/>
        <v>2022</v>
      </c>
      <c r="H7" s="435" t="str">
        <f>+VLOOKUP(I7,U:V,2,0)</f>
        <v>MAYO</v>
      </c>
      <c r="I7" s="435">
        <f t="shared" si="1"/>
        <v>5</v>
      </c>
      <c r="J7" s="435">
        <f t="shared" si="2"/>
        <v>21</v>
      </c>
      <c r="K7" s="353">
        <f t="shared" si="3"/>
        <v>44702</v>
      </c>
      <c r="L7" s="360">
        <v>100</v>
      </c>
      <c r="M7" s="354">
        <v>1170</v>
      </c>
      <c r="N7" s="128">
        <f>+M7*L7*0.2</f>
        <v>23400</v>
      </c>
      <c r="O7" s="359">
        <v>44612</v>
      </c>
      <c r="P7" s="322"/>
      <c r="Q7" s="241"/>
      <c r="R7" s="241"/>
      <c r="S7" s="241"/>
      <c r="U7" s="351">
        <f t="shared" si="4"/>
        <v>6</v>
      </c>
      <c r="V7" s="351" t="s">
        <v>36</v>
      </c>
    </row>
    <row r="8" spans="1:22" s="351" customFormat="1" ht="15.75" customHeight="1" x14ac:dyDescent="0.3">
      <c r="A8" s="356" t="s">
        <v>4005</v>
      </c>
      <c r="B8" s="262" t="s">
        <v>653</v>
      </c>
      <c r="C8" s="357" t="s">
        <v>1496</v>
      </c>
      <c r="D8" s="355" t="s">
        <v>4009</v>
      </c>
      <c r="E8" s="361">
        <v>30</v>
      </c>
      <c r="F8" s="358" t="s">
        <v>20</v>
      </c>
      <c r="G8" s="436">
        <f t="shared" si="0"/>
        <v>2022</v>
      </c>
      <c r="H8" s="435" t="str">
        <f>+VLOOKUP(I8,U:V,2,0)</f>
        <v>MARZO</v>
      </c>
      <c r="I8" s="435">
        <f t="shared" si="1"/>
        <v>3</v>
      </c>
      <c r="J8" s="435">
        <f t="shared" si="2"/>
        <v>11</v>
      </c>
      <c r="K8" s="353">
        <f t="shared" si="3"/>
        <v>44632</v>
      </c>
      <c r="L8" s="360">
        <v>124.5</v>
      </c>
      <c r="M8" s="354">
        <v>795</v>
      </c>
      <c r="N8" s="128">
        <f t="shared" ref="N8:N17" si="5">+M8*L8</f>
        <v>98977.5</v>
      </c>
      <c r="O8" s="359">
        <v>44602</v>
      </c>
      <c r="P8" s="322"/>
      <c r="Q8" s="241"/>
      <c r="R8" s="241"/>
      <c r="S8" s="241"/>
      <c r="U8" s="351">
        <f t="shared" si="4"/>
        <v>7</v>
      </c>
      <c r="V8" s="351" t="s">
        <v>37</v>
      </c>
    </row>
    <row r="9" spans="1:22" s="351" customFormat="1" ht="15.75" customHeight="1" x14ac:dyDescent="0.3">
      <c r="A9" s="356" t="s">
        <v>4006</v>
      </c>
      <c r="B9" s="262" t="s">
        <v>653</v>
      </c>
      <c r="C9" s="357" t="s">
        <v>1496</v>
      </c>
      <c r="D9" s="355" t="s">
        <v>4010</v>
      </c>
      <c r="E9" s="361">
        <v>30</v>
      </c>
      <c r="F9" s="358" t="s">
        <v>20</v>
      </c>
      <c r="G9" s="436">
        <f t="shared" si="0"/>
        <v>2022</v>
      </c>
      <c r="H9" s="435" t="str">
        <f>+VLOOKUP(I9,U:V,2,0)</f>
        <v>MARZO</v>
      </c>
      <c r="I9" s="435">
        <f t="shared" si="1"/>
        <v>3</v>
      </c>
      <c r="J9" s="435">
        <f t="shared" si="2"/>
        <v>12</v>
      </c>
      <c r="K9" s="353">
        <f t="shared" si="3"/>
        <v>44636</v>
      </c>
      <c r="L9" s="360">
        <v>124.5</v>
      </c>
      <c r="M9" s="354">
        <v>795</v>
      </c>
      <c r="N9" s="128">
        <f t="shared" si="5"/>
        <v>98977.5</v>
      </c>
      <c r="O9" s="359">
        <v>44606</v>
      </c>
      <c r="P9" s="322"/>
      <c r="Q9" s="241"/>
      <c r="R9" s="241"/>
      <c r="S9" s="241"/>
      <c r="U9" s="351">
        <f t="shared" si="4"/>
        <v>8</v>
      </c>
      <c r="V9" s="351" t="s">
        <v>38</v>
      </c>
    </row>
    <row r="10" spans="1:22" s="351" customFormat="1" ht="15.75" customHeight="1" x14ac:dyDescent="0.3">
      <c r="A10" s="356" t="s">
        <v>4007</v>
      </c>
      <c r="B10" s="262" t="s">
        <v>653</v>
      </c>
      <c r="C10" s="357" t="s">
        <v>1496</v>
      </c>
      <c r="D10" s="355" t="s">
        <v>4011</v>
      </c>
      <c r="E10" s="361">
        <v>30</v>
      </c>
      <c r="F10" s="358" t="s">
        <v>20</v>
      </c>
      <c r="G10" s="436">
        <f t="shared" si="0"/>
        <v>2022</v>
      </c>
      <c r="H10" s="435" t="str">
        <f>+VLOOKUP(I10,U:V,2,0)</f>
        <v>MARZO</v>
      </c>
      <c r="I10" s="435">
        <f t="shared" si="1"/>
        <v>3</v>
      </c>
      <c r="J10" s="435">
        <f t="shared" si="2"/>
        <v>13</v>
      </c>
      <c r="K10" s="353">
        <f t="shared" si="3"/>
        <v>44643</v>
      </c>
      <c r="L10" s="360">
        <v>124.5</v>
      </c>
      <c r="M10" s="354">
        <v>795</v>
      </c>
      <c r="N10" s="128">
        <f t="shared" si="5"/>
        <v>98977.5</v>
      </c>
      <c r="O10" s="359">
        <v>44613</v>
      </c>
      <c r="P10" s="322"/>
      <c r="Q10" s="241"/>
      <c r="R10" s="241"/>
      <c r="S10" s="241"/>
      <c r="U10" s="351">
        <f t="shared" si="4"/>
        <v>9</v>
      </c>
      <c r="V10" s="351" t="s">
        <v>40</v>
      </c>
    </row>
    <row r="11" spans="1:22" s="351" customFormat="1" ht="15.75" customHeight="1" x14ac:dyDescent="0.3">
      <c r="A11" s="356" t="s">
        <v>4008</v>
      </c>
      <c r="B11" s="262" t="s">
        <v>653</v>
      </c>
      <c r="C11" s="357" t="s">
        <v>1496</v>
      </c>
      <c r="D11" s="355" t="s">
        <v>4012</v>
      </c>
      <c r="E11" s="361">
        <v>30</v>
      </c>
      <c r="F11" s="358" t="s">
        <v>20</v>
      </c>
      <c r="G11" s="436">
        <f t="shared" si="0"/>
        <v>2022</v>
      </c>
      <c r="H11" s="435" t="str">
        <f>+VLOOKUP(I11,U:V,2,0)</f>
        <v>MARZO</v>
      </c>
      <c r="I11" s="435">
        <f t="shared" si="1"/>
        <v>3</v>
      </c>
      <c r="J11" s="435">
        <f t="shared" si="2"/>
        <v>14</v>
      </c>
      <c r="K11" s="353">
        <f t="shared" si="3"/>
        <v>44650</v>
      </c>
      <c r="L11" s="360">
        <v>124.5</v>
      </c>
      <c r="M11" s="354">
        <v>795</v>
      </c>
      <c r="N11" s="128">
        <f t="shared" si="5"/>
        <v>98977.5</v>
      </c>
      <c r="O11" s="359">
        <v>44620</v>
      </c>
      <c r="P11" s="322"/>
      <c r="Q11" s="241"/>
      <c r="R11" s="241"/>
      <c r="S11" s="241"/>
      <c r="U11" s="351">
        <f t="shared" si="4"/>
        <v>10</v>
      </c>
      <c r="V11" s="351" t="s">
        <v>26</v>
      </c>
    </row>
    <row r="12" spans="1:22" s="351" customFormat="1" ht="15.75" customHeight="1" x14ac:dyDescent="0.3">
      <c r="A12" s="356" t="s">
        <v>3795</v>
      </c>
      <c r="B12" s="262" t="s">
        <v>1326</v>
      </c>
      <c r="C12" s="357" t="s">
        <v>1497</v>
      </c>
      <c r="D12" s="355" t="s">
        <v>3862</v>
      </c>
      <c r="E12" s="361">
        <v>90</v>
      </c>
      <c r="F12" s="358" t="s">
        <v>20</v>
      </c>
      <c r="G12" s="436">
        <f t="shared" si="0"/>
        <v>2022</v>
      </c>
      <c r="H12" s="435" t="str">
        <f>+VLOOKUP(I12,U:V,2,0)</f>
        <v>MARZO</v>
      </c>
      <c r="I12" s="435">
        <f t="shared" si="1"/>
        <v>3</v>
      </c>
      <c r="J12" s="435">
        <f t="shared" si="2"/>
        <v>11</v>
      </c>
      <c r="K12" s="353">
        <f t="shared" si="3"/>
        <v>44631</v>
      </c>
      <c r="L12" s="360">
        <v>5000.3999999999996</v>
      </c>
      <c r="M12" s="354">
        <v>785.18</v>
      </c>
      <c r="N12" s="128">
        <f t="shared" si="5"/>
        <v>3926214.0719999997</v>
      </c>
      <c r="O12" s="359">
        <v>44541</v>
      </c>
      <c r="P12" s="322"/>
      <c r="Q12" s="241"/>
      <c r="R12" s="241"/>
      <c r="S12" s="241"/>
      <c r="U12" s="351">
        <f t="shared" si="4"/>
        <v>11</v>
      </c>
      <c r="V12" s="351" t="s">
        <v>24</v>
      </c>
    </row>
    <row r="13" spans="1:22" s="351" customFormat="1" ht="15.75" customHeight="1" x14ac:dyDescent="0.3">
      <c r="A13" s="356" t="s">
        <v>3549</v>
      </c>
      <c r="B13" s="262" t="s">
        <v>1325</v>
      </c>
      <c r="C13" s="357" t="s">
        <v>1497</v>
      </c>
      <c r="D13" s="289" t="s">
        <v>3909</v>
      </c>
      <c r="E13" s="361">
        <v>90</v>
      </c>
      <c r="F13" s="358" t="s">
        <v>20</v>
      </c>
      <c r="G13" s="436">
        <f t="shared" si="0"/>
        <v>2022</v>
      </c>
      <c r="H13" s="435" t="str">
        <f>+VLOOKUP(I13,U:V,2,0)</f>
        <v>MARZO</v>
      </c>
      <c r="I13" s="435">
        <f t="shared" si="1"/>
        <v>3</v>
      </c>
      <c r="J13" s="435">
        <f t="shared" si="2"/>
        <v>12</v>
      </c>
      <c r="K13" s="353">
        <f t="shared" si="3"/>
        <v>44637</v>
      </c>
      <c r="L13" s="360">
        <v>79.8</v>
      </c>
      <c r="M13" s="354">
        <v>1691</v>
      </c>
      <c r="N13" s="128">
        <f t="shared" si="5"/>
        <v>134941.79999999999</v>
      </c>
      <c r="O13" s="359">
        <v>44547</v>
      </c>
      <c r="P13" s="322"/>
      <c r="Q13" s="241"/>
      <c r="R13" s="241"/>
      <c r="S13" s="241"/>
      <c r="U13" s="351">
        <f t="shared" si="4"/>
        <v>12</v>
      </c>
      <c r="V13" s="351" t="s">
        <v>25</v>
      </c>
    </row>
    <row r="14" spans="1:22" s="351" customFormat="1" ht="15.75" customHeight="1" x14ac:dyDescent="0.3">
      <c r="A14" s="356" t="s">
        <v>3910</v>
      </c>
      <c r="B14" s="262" t="s">
        <v>1325</v>
      </c>
      <c r="C14" s="357" t="s">
        <v>1497</v>
      </c>
      <c r="D14" s="289" t="s">
        <v>3911</v>
      </c>
      <c r="E14" s="361">
        <v>90</v>
      </c>
      <c r="F14" s="358" t="s">
        <v>20</v>
      </c>
      <c r="G14" s="436">
        <f t="shared" si="0"/>
        <v>2022</v>
      </c>
      <c r="H14" s="435" t="str">
        <f>+VLOOKUP(I14,U:V,2,0)</f>
        <v>MARZO</v>
      </c>
      <c r="I14" s="435">
        <f t="shared" si="1"/>
        <v>3</v>
      </c>
      <c r="J14" s="435">
        <f t="shared" si="2"/>
        <v>12</v>
      </c>
      <c r="K14" s="353">
        <f t="shared" si="3"/>
        <v>44637</v>
      </c>
      <c r="L14" s="360">
        <v>106.4</v>
      </c>
      <c r="M14" s="354">
        <v>1691</v>
      </c>
      <c r="N14" s="128">
        <f t="shared" si="5"/>
        <v>179922.40000000002</v>
      </c>
      <c r="O14" s="359">
        <v>44547</v>
      </c>
      <c r="P14" s="322"/>
      <c r="Q14" s="241"/>
      <c r="R14" s="241"/>
      <c r="S14" s="241"/>
    </row>
    <row r="15" spans="1:22" s="351" customFormat="1" ht="15.75" customHeight="1" x14ac:dyDescent="0.3">
      <c r="A15" s="356" t="s">
        <v>3461</v>
      </c>
      <c r="B15" s="262" t="s">
        <v>1785</v>
      </c>
      <c r="C15" s="357" t="s">
        <v>331</v>
      </c>
      <c r="D15" s="289"/>
      <c r="E15" s="361" t="s">
        <v>5</v>
      </c>
      <c r="F15" s="358"/>
      <c r="G15" s="436">
        <f t="shared" si="0"/>
        <v>2022</v>
      </c>
      <c r="H15" s="435" t="str">
        <f>+VLOOKUP(I15,U:V,2,0)</f>
        <v>MARZO</v>
      </c>
      <c r="I15" s="435">
        <f t="shared" si="1"/>
        <v>3</v>
      </c>
      <c r="J15" s="435">
        <f t="shared" si="2"/>
        <v>10</v>
      </c>
      <c r="K15" s="353">
        <v>44621</v>
      </c>
      <c r="L15" s="360">
        <v>108</v>
      </c>
      <c r="M15" s="354">
        <v>334.22</v>
      </c>
      <c r="N15" s="128">
        <f t="shared" si="5"/>
        <v>36095.760000000002</v>
      </c>
      <c r="O15" s="359">
        <v>44597</v>
      </c>
      <c r="P15" s="322" t="s">
        <v>2923</v>
      </c>
      <c r="Q15" s="241"/>
      <c r="R15" s="241"/>
      <c r="S15" s="241"/>
    </row>
    <row r="16" spans="1:22" s="351" customFormat="1" ht="15.75" customHeight="1" x14ac:dyDescent="0.3">
      <c r="A16" s="356" t="s">
        <v>3462</v>
      </c>
      <c r="B16" s="262" t="s">
        <v>1785</v>
      </c>
      <c r="C16" s="357" t="s">
        <v>331</v>
      </c>
      <c r="D16" s="289"/>
      <c r="E16" s="361" t="s">
        <v>5</v>
      </c>
      <c r="F16" s="358"/>
      <c r="G16" s="436">
        <f t="shared" si="0"/>
        <v>2022</v>
      </c>
      <c r="H16" s="435" t="str">
        <f>+VLOOKUP(I16,U:V,2,0)</f>
        <v>FEBRERO</v>
      </c>
      <c r="I16" s="435">
        <f t="shared" si="1"/>
        <v>2</v>
      </c>
      <c r="J16" s="435">
        <f t="shared" si="2"/>
        <v>9</v>
      </c>
      <c r="K16" s="353">
        <v>44617</v>
      </c>
      <c r="L16" s="360">
        <v>27</v>
      </c>
      <c r="M16" s="354">
        <v>334.22</v>
      </c>
      <c r="N16" s="128">
        <f t="shared" si="5"/>
        <v>9023.94</v>
      </c>
      <c r="O16" s="359">
        <v>44595</v>
      </c>
      <c r="P16" s="322" t="s">
        <v>2923</v>
      </c>
      <c r="Q16" s="241"/>
      <c r="R16" s="241"/>
      <c r="S16" s="241"/>
    </row>
    <row r="17" spans="1:19" s="351" customFormat="1" ht="15.75" customHeight="1" x14ac:dyDescent="0.3">
      <c r="A17" s="356" t="s">
        <v>3501</v>
      </c>
      <c r="B17" s="262" t="s">
        <v>502</v>
      </c>
      <c r="C17" s="357" t="s">
        <v>1497</v>
      </c>
      <c r="D17" s="355" t="s">
        <v>4064</v>
      </c>
      <c r="E17" s="361">
        <v>90</v>
      </c>
      <c r="F17" s="358" t="s">
        <v>20</v>
      </c>
      <c r="G17" s="436">
        <f t="shared" si="0"/>
        <v>2022</v>
      </c>
      <c r="H17" s="435" t="str">
        <f>+VLOOKUP(I17,U:V,2,0)</f>
        <v>ABRIL</v>
      </c>
      <c r="I17" s="435">
        <f t="shared" si="1"/>
        <v>4</v>
      </c>
      <c r="J17" s="435">
        <f t="shared" si="2"/>
        <v>17</v>
      </c>
      <c r="K17" s="353">
        <f>+O17+E17</f>
        <v>44674</v>
      </c>
      <c r="L17" s="360">
        <v>133.375</v>
      </c>
      <c r="M17" s="354">
        <v>768</v>
      </c>
      <c r="N17" s="128">
        <f t="shared" si="5"/>
        <v>102432</v>
      </c>
      <c r="O17" s="359">
        <v>44584</v>
      </c>
      <c r="P17" s="322"/>
      <c r="Q17" s="241"/>
      <c r="R17" s="241"/>
      <c r="S17" s="241"/>
    </row>
    <row r="18" spans="1:19" s="351" customFormat="1" ht="15.75" customHeight="1" x14ac:dyDescent="0.3">
      <c r="A18" s="356" t="s">
        <v>3503</v>
      </c>
      <c r="B18" s="262" t="s">
        <v>1387</v>
      </c>
      <c r="C18" s="357" t="s">
        <v>494</v>
      </c>
      <c r="D18" s="355" t="s">
        <v>552</v>
      </c>
      <c r="E18" s="361">
        <v>120</v>
      </c>
      <c r="F18" s="358" t="s">
        <v>20</v>
      </c>
      <c r="G18" s="436">
        <f t="shared" si="0"/>
        <v>2022</v>
      </c>
      <c r="H18" s="435" t="str">
        <f>+VLOOKUP(I18,U:V,2,0)</f>
        <v>MARZO</v>
      </c>
      <c r="I18" s="435">
        <f t="shared" si="1"/>
        <v>3</v>
      </c>
      <c r="J18" s="435">
        <f t="shared" si="2"/>
        <v>11</v>
      </c>
      <c r="K18" s="353">
        <v>44631</v>
      </c>
      <c r="L18" s="360">
        <f>+N18/M18</f>
        <v>4676.6894540652811</v>
      </c>
      <c r="M18" s="354">
        <v>727.01</v>
      </c>
      <c r="N18" s="128">
        <v>3400000</v>
      </c>
      <c r="O18" s="359">
        <v>44502</v>
      </c>
      <c r="P18" s="322" t="s">
        <v>3423</v>
      </c>
      <c r="Q18" s="241">
        <v>44526</v>
      </c>
      <c r="R18" s="241"/>
      <c r="S18" s="241"/>
    </row>
    <row r="19" spans="1:19" s="351" customFormat="1" ht="15.75" customHeight="1" x14ac:dyDescent="0.3">
      <c r="A19" s="356" t="s">
        <v>3986</v>
      </c>
      <c r="B19" s="262" t="s">
        <v>1325</v>
      </c>
      <c r="C19" s="357" t="s">
        <v>928</v>
      </c>
      <c r="D19" s="289" t="s">
        <v>4013</v>
      </c>
      <c r="E19" s="361">
        <v>90</v>
      </c>
      <c r="F19" s="358" t="s">
        <v>20</v>
      </c>
      <c r="G19" s="436">
        <f t="shared" si="0"/>
        <v>2022</v>
      </c>
      <c r="H19" s="435" t="str">
        <f>+VLOOKUP(I19,U:V,2,0)</f>
        <v>MAYO</v>
      </c>
      <c r="I19" s="435">
        <f t="shared" si="1"/>
        <v>5</v>
      </c>
      <c r="J19" s="435">
        <f t="shared" si="2"/>
        <v>20</v>
      </c>
      <c r="K19" s="353">
        <f>+O19+E19</f>
        <v>44694</v>
      </c>
      <c r="L19" s="360">
        <v>72</v>
      </c>
      <c r="M19" s="354">
        <v>1626</v>
      </c>
      <c r="N19" s="128">
        <f t="shared" ref="N19:N42" si="6">+M19*L19</f>
        <v>117072</v>
      </c>
      <c r="O19" s="359">
        <v>44604</v>
      </c>
      <c r="P19" s="322"/>
      <c r="Q19" s="241"/>
      <c r="R19" s="241"/>
      <c r="S19" s="241"/>
    </row>
    <row r="20" spans="1:19" s="351" customFormat="1" ht="15.75" customHeight="1" x14ac:dyDescent="0.3">
      <c r="A20" s="356" t="s">
        <v>3987</v>
      </c>
      <c r="B20" s="262" t="s">
        <v>1325</v>
      </c>
      <c r="C20" s="357" t="s">
        <v>928</v>
      </c>
      <c r="D20" s="355" t="s">
        <v>4065</v>
      </c>
      <c r="E20" s="361">
        <v>90</v>
      </c>
      <c r="F20" s="358" t="s">
        <v>20</v>
      </c>
      <c r="G20" s="436">
        <f t="shared" si="0"/>
        <v>2022</v>
      </c>
      <c r="H20" s="435" t="str">
        <f>+VLOOKUP(I20,U:V,2,0)</f>
        <v>MAYO</v>
      </c>
      <c r="I20" s="435">
        <f t="shared" si="1"/>
        <v>5</v>
      </c>
      <c r="J20" s="435">
        <f t="shared" si="2"/>
        <v>22</v>
      </c>
      <c r="K20" s="353">
        <f>+O20+E20</f>
        <v>44704</v>
      </c>
      <c r="L20" s="360">
        <v>120</v>
      </c>
      <c r="M20" s="354">
        <v>1626</v>
      </c>
      <c r="N20" s="128">
        <f t="shared" si="6"/>
        <v>195120</v>
      </c>
      <c r="O20" s="359">
        <v>44614</v>
      </c>
      <c r="P20" s="322"/>
      <c r="Q20" s="241"/>
      <c r="R20" s="241"/>
      <c r="S20" s="241"/>
    </row>
    <row r="21" spans="1:19" s="351" customFormat="1" ht="15.75" customHeight="1" x14ac:dyDescent="0.3">
      <c r="A21" s="356" t="s">
        <v>3988</v>
      </c>
      <c r="B21" s="262" t="s">
        <v>1325</v>
      </c>
      <c r="C21" s="357" t="s">
        <v>928</v>
      </c>
      <c r="D21" s="355" t="s">
        <v>4066</v>
      </c>
      <c r="E21" s="361">
        <v>90</v>
      </c>
      <c r="F21" s="358" t="s">
        <v>20</v>
      </c>
      <c r="G21" s="436">
        <f t="shared" si="0"/>
        <v>2022</v>
      </c>
      <c r="H21" s="435" t="str">
        <f>+VLOOKUP(I21,U:V,2,0)</f>
        <v>JUNIO</v>
      </c>
      <c r="I21" s="435">
        <f t="shared" si="1"/>
        <v>6</v>
      </c>
      <c r="J21" s="435">
        <f t="shared" si="2"/>
        <v>23</v>
      </c>
      <c r="K21" s="353">
        <f>+O21+E21</f>
        <v>44713</v>
      </c>
      <c r="L21" s="360">
        <v>120</v>
      </c>
      <c r="M21" s="354">
        <v>1626</v>
      </c>
      <c r="N21" s="128">
        <f t="shared" si="6"/>
        <v>195120</v>
      </c>
      <c r="O21" s="359">
        <v>44623</v>
      </c>
      <c r="P21" s="322"/>
      <c r="Q21" s="241"/>
      <c r="R21" s="241"/>
      <c r="S21" s="241"/>
    </row>
    <row r="22" spans="1:19" s="351" customFormat="1" ht="15.75" customHeight="1" x14ac:dyDescent="0.3">
      <c r="A22" s="356" t="s">
        <v>3507</v>
      </c>
      <c r="B22" s="262" t="s">
        <v>1325</v>
      </c>
      <c r="C22" s="357" t="s">
        <v>928</v>
      </c>
      <c r="D22" s="355" t="s">
        <v>3895</v>
      </c>
      <c r="E22" s="361">
        <v>90</v>
      </c>
      <c r="F22" s="358" t="s">
        <v>20</v>
      </c>
      <c r="G22" s="436">
        <f t="shared" si="0"/>
        <v>2022</v>
      </c>
      <c r="H22" s="435" t="str">
        <f>+VLOOKUP(I22,U:V,2,0)</f>
        <v>MARZO</v>
      </c>
      <c r="I22" s="435">
        <f t="shared" si="1"/>
        <v>3</v>
      </c>
      <c r="J22" s="435">
        <f t="shared" si="2"/>
        <v>13</v>
      </c>
      <c r="K22" s="353">
        <f>+O22+E22</f>
        <v>44644</v>
      </c>
      <c r="L22" s="360">
        <v>408</v>
      </c>
      <c r="M22" s="354">
        <v>1546</v>
      </c>
      <c r="N22" s="128">
        <f t="shared" si="6"/>
        <v>630768</v>
      </c>
      <c r="O22" s="359">
        <v>44554</v>
      </c>
      <c r="P22" s="322"/>
      <c r="Q22" s="241"/>
      <c r="R22" s="241"/>
      <c r="S22" s="241"/>
    </row>
    <row r="23" spans="1:19" s="351" customFormat="1" ht="15.75" customHeight="1" x14ac:dyDescent="0.3">
      <c r="A23" s="356" t="s">
        <v>3925</v>
      </c>
      <c r="B23" s="352" t="s">
        <v>653</v>
      </c>
      <c r="C23" s="357" t="s">
        <v>1496</v>
      </c>
      <c r="D23" s="350" t="s">
        <v>3948</v>
      </c>
      <c r="E23" s="361">
        <v>60</v>
      </c>
      <c r="F23" s="358" t="s">
        <v>45</v>
      </c>
      <c r="G23" s="436">
        <f t="shared" si="0"/>
        <v>2022</v>
      </c>
      <c r="H23" s="435" t="str">
        <f>+VLOOKUP(I23,U:V,2,0)</f>
        <v>MARZO</v>
      </c>
      <c r="I23" s="435">
        <f t="shared" si="1"/>
        <v>3</v>
      </c>
      <c r="J23" s="435">
        <f t="shared" si="2"/>
        <v>11</v>
      </c>
      <c r="K23" s="353">
        <v>44628</v>
      </c>
      <c r="L23" s="360">
        <v>124.5</v>
      </c>
      <c r="M23" s="354">
        <v>795</v>
      </c>
      <c r="N23" s="128">
        <f t="shared" si="6"/>
        <v>98977.5</v>
      </c>
      <c r="O23" s="359">
        <v>44571</v>
      </c>
      <c r="P23" s="322"/>
      <c r="Q23" s="241"/>
      <c r="R23" s="241"/>
      <c r="S23" s="241"/>
    </row>
    <row r="24" spans="1:19" s="351" customFormat="1" ht="15.75" customHeight="1" x14ac:dyDescent="0.3">
      <c r="A24" s="356" t="s">
        <v>3903</v>
      </c>
      <c r="B24" s="352" t="s">
        <v>653</v>
      </c>
      <c r="C24" s="357" t="s">
        <v>1496</v>
      </c>
      <c r="D24" s="350" t="s">
        <v>3949</v>
      </c>
      <c r="E24" s="361">
        <v>60</v>
      </c>
      <c r="F24" s="358" t="s">
        <v>45</v>
      </c>
      <c r="G24" s="436">
        <f t="shared" si="0"/>
        <v>2022</v>
      </c>
      <c r="H24" s="435" t="str">
        <f>+VLOOKUP(I24,U:V,2,0)</f>
        <v>MARZO</v>
      </c>
      <c r="I24" s="435">
        <f t="shared" si="1"/>
        <v>3</v>
      </c>
      <c r="J24" s="435">
        <f t="shared" si="2"/>
        <v>11</v>
      </c>
      <c r="K24" s="353">
        <v>44628</v>
      </c>
      <c r="L24" s="360">
        <v>124.5</v>
      </c>
      <c r="M24" s="354">
        <v>795</v>
      </c>
      <c r="N24" s="128">
        <f t="shared" si="6"/>
        <v>98977.5</v>
      </c>
      <c r="O24" s="359">
        <v>44571</v>
      </c>
      <c r="P24" s="322"/>
      <c r="Q24" s="241"/>
      <c r="R24" s="241"/>
      <c r="S24" s="241"/>
    </row>
    <row r="25" spans="1:19" s="351" customFormat="1" ht="15.75" customHeight="1" x14ac:dyDescent="0.3">
      <c r="A25" s="356" t="s">
        <v>3923</v>
      </c>
      <c r="B25" s="352" t="s">
        <v>653</v>
      </c>
      <c r="C25" s="357" t="s">
        <v>1496</v>
      </c>
      <c r="D25" s="350" t="s">
        <v>3950</v>
      </c>
      <c r="E25" s="361">
        <v>60</v>
      </c>
      <c r="F25" s="358" t="s">
        <v>45</v>
      </c>
      <c r="G25" s="436">
        <f t="shared" si="0"/>
        <v>2022</v>
      </c>
      <c r="H25" s="435" t="str">
        <f>+VLOOKUP(I25,U:V,2,0)</f>
        <v>MARZO</v>
      </c>
      <c r="I25" s="435">
        <f t="shared" si="1"/>
        <v>3</v>
      </c>
      <c r="J25" s="435">
        <f t="shared" si="2"/>
        <v>12</v>
      </c>
      <c r="K25" s="353">
        <v>44635</v>
      </c>
      <c r="L25" s="360">
        <v>124.5</v>
      </c>
      <c r="M25" s="354">
        <v>795</v>
      </c>
      <c r="N25" s="128">
        <f t="shared" si="6"/>
        <v>98977.5</v>
      </c>
      <c r="O25" s="359">
        <v>44578</v>
      </c>
      <c r="P25" s="322"/>
      <c r="Q25" s="241"/>
      <c r="R25" s="241"/>
      <c r="S25" s="241"/>
    </row>
    <row r="26" spans="1:19" s="351" customFormat="1" ht="15.75" customHeight="1" x14ac:dyDescent="0.3">
      <c r="A26" s="356" t="s">
        <v>3924</v>
      </c>
      <c r="B26" s="352" t="s">
        <v>653</v>
      </c>
      <c r="C26" s="357" t="s">
        <v>1496</v>
      </c>
      <c r="D26" s="350" t="s">
        <v>3951</v>
      </c>
      <c r="E26" s="361">
        <v>60</v>
      </c>
      <c r="F26" s="358" t="s">
        <v>45</v>
      </c>
      <c r="G26" s="436">
        <f t="shared" si="0"/>
        <v>2022</v>
      </c>
      <c r="H26" s="435" t="str">
        <f>+VLOOKUP(I26,U:V,2,0)</f>
        <v>MARZO</v>
      </c>
      <c r="I26" s="435">
        <f t="shared" si="1"/>
        <v>3</v>
      </c>
      <c r="J26" s="435">
        <f t="shared" si="2"/>
        <v>12</v>
      </c>
      <c r="K26" s="353">
        <v>44635</v>
      </c>
      <c r="L26" s="360">
        <v>124.5</v>
      </c>
      <c r="M26" s="354">
        <v>795</v>
      </c>
      <c r="N26" s="128">
        <f t="shared" si="6"/>
        <v>98977.5</v>
      </c>
      <c r="O26" s="359">
        <v>44578</v>
      </c>
      <c r="P26" s="322"/>
      <c r="Q26" s="241"/>
      <c r="R26" s="241"/>
      <c r="S26" s="241"/>
    </row>
    <row r="27" spans="1:19" s="351" customFormat="1" ht="15.75" customHeight="1" x14ac:dyDescent="0.3">
      <c r="A27" s="356" t="s">
        <v>3945</v>
      </c>
      <c r="B27" s="352" t="s">
        <v>653</v>
      </c>
      <c r="C27" s="357" t="s">
        <v>1496</v>
      </c>
      <c r="D27" s="350" t="s">
        <v>3975</v>
      </c>
      <c r="E27" s="361">
        <v>60</v>
      </c>
      <c r="F27" s="358" t="s">
        <v>45</v>
      </c>
      <c r="G27" s="436">
        <f t="shared" si="0"/>
        <v>2022</v>
      </c>
      <c r="H27" s="435" t="str">
        <f>+VLOOKUP(I27,U:V,2,0)</f>
        <v>MARZO</v>
      </c>
      <c r="I27" s="435">
        <f t="shared" si="1"/>
        <v>3</v>
      </c>
      <c r="J27" s="435">
        <f t="shared" si="2"/>
        <v>13</v>
      </c>
      <c r="K27" s="353">
        <v>44640</v>
      </c>
      <c r="L27" s="360">
        <v>140</v>
      </c>
      <c r="M27" s="354">
        <v>795</v>
      </c>
      <c r="N27" s="128">
        <f t="shared" si="6"/>
        <v>111300</v>
      </c>
      <c r="O27" s="359">
        <v>44585</v>
      </c>
      <c r="P27" s="322"/>
      <c r="Q27" s="241"/>
      <c r="R27" s="241"/>
      <c r="S27" s="241"/>
    </row>
    <row r="28" spans="1:19" s="351" customFormat="1" ht="15.75" customHeight="1" x14ac:dyDescent="0.3">
      <c r="A28" s="356" t="s">
        <v>3946</v>
      </c>
      <c r="B28" s="352" t="s">
        <v>653</v>
      </c>
      <c r="C28" s="357" t="s">
        <v>1496</v>
      </c>
      <c r="D28" s="350" t="s">
        <v>3972</v>
      </c>
      <c r="E28" s="361">
        <v>60</v>
      </c>
      <c r="F28" s="358" t="s">
        <v>45</v>
      </c>
      <c r="G28" s="436">
        <f t="shared" si="0"/>
        <v>2022</v>
      </c>
      <c r="H28" s="435" t="str">
        <f>+VLOOKUP(I28,U:V,2,0)</f>
        <v>MARZO</v>
      </c>
      <c r="I28" s="435">
        <f t="shared" si="1"/>
        <v>3</v>
      </c>
      <c r="J28" s="435">
        <f t="shared" si="2"/>
        <v>13</v>
      </c>
      <c r="K28" s="353">
        <v>44640</v>
      </c>
      <c r="L28" s="360">
        <v>140</v>
      </c>
      <c r="M28" s="354">
        <v>795</v>
      </c>
      <c r="N28" s="128">
        <f t="shared" si="6"/>
        <v>111300</v>
      </c>
      <c r="O28" s="359">
        <v>44585</v>
      </c>
      <c r="P28" s="322"/>
      <c r="Q28" s="241"/>
      <c r="R28" s="241"/>
      <c r="S28" s="241"/>
    </row>
    <row r="29" spans="1:19" s="351" customFormat="1" ht="15.75" customHeight="1" x14ac:dyDescent="0.3">
      <c r="A29" s="356" t="s">
        <v>3947</v>
      </c>
      <c r="B29" s="352" t="s">
        <v>653</v>
      </c>
      <c r="C29" s="357" t="s">
        <v>1496</v>
      </c>
      <c r="D29" s="350" t="s">
        <v>3973</v>
      </c>
      <c r="E29" s="361">
        <v>60</v>
      </c>
      <c r="F29" s="358" t="s">
        <v>45</v>
      </c>
      <c r="G29" s="436">
        <f t="shared" si="0"/>
        <v>2022</v>
      </c>
      <c r="H29" s="435" t="str">
        <f>+VLOOKUP(I29,U:V,2,0)</f>
        <v>MARZO</v>
      </c>
      <c r="I29" s="435">
        <f t="shared" si="1"/>
        <v>3</v>
      </c>
      <c r="J29" s="435">
        <f t="shared" si="2"/>
        <v>13</v>
      </c>
      <c r="K29" s="353">
        <v>44640</v>
      </c>
      <c r="L29" s="360">
        <v>140</v>
      </c>
      <c r="M29" s="354">
        <v>795</v>
      </c>
      <c r="N29" s="128">
        <f t="shared" si="6"/>
        <v>111300</v>
      </c>
      <c r="O29" s="359">
        <v>44592</v>
      </c>
      <c r="P29" s="322"/>
      <c r="Q29" s="241"/>
      <c r="R29" s="241"/>
      <c r="S29" s="241"/>
    </row>
    <row r="30" spans="1:19" s="351" customFormat="1" ht="15.75" customHeight="1" x14ac:dyDescent="0.3">
      <c r="A30" s="356" t="s">
        <v>3947</v>
      </c>
      <c r="B30" s="352" t="s">
        <v>653</v>
      </c>
      <c r="C30" s="357" t="s">
        <v>1496</v>
      </c>
      <c r="D30" s="350" t="s">
        <v>3974</v>
      </c>
      <c r="E30" s="361">
        <v>60</v>
      </c>
      <c r="F30" s="358" t="s">
        <v>45</v>
      </c>
      <c r="G30" s="436">
        <f t="shared" si="0"/>
        <v>2022</v>
      </c>
      <c r="H30" s="435" t="str">
        <f>+VLOOKUP(I30,U:V,2,0)</f>
        <v>MARZO</v>
      </c>
      <c r="I30" s="435">
        <f t="shared" si="1"/>
        <v>3</v>
      </c>
      <c r="J30" s="435">
        <f t="shared" si="2"/>
        <v>13</v>
      </c>
      <c r="K30" s="353">
        <v>44640</v>
      </c>
      <c r="L30" s="360">
        <v>84</v>
      </c>
      <c r="M30" s="354">
        <v>795</v>
      </c>
      <c r="N30" s="128">
        <f t="shared" si="6"/>
        <v>66780</v>
      </c>
      <c r="O30" s="359">
        <v>44592</v>
      </c>
      <c r="P30" s="322"/>
      <c r="Q30" s="241"/>
      <c r="R30" s="241"/>
      <c r="S30" s="241"/>
    </row>
    <row r="31" spans="1:19" s="351" customFormat="1" ht="15.75" customHeight="1" x14ac:dyDescent="0.3">
      <c r="A31" s="356" t="s">
        <v>3532</v>
      </c>
      <c r="B31" s="352" t="s">
        <v>1292</v>
      </c>
      <c r="C31" s="357" t="s">
        <v>280</v>
      </c>
      <c r="D31" s="355" t="s">
        <v>3703</v>
      </c>
      <c r="E31" s="361">
        <v>90</v>
      </c>
      <c r="F31" s="358" t="s">
        <v>20</v>
      </c>
      <c r="G31" s="436">
        <f t="shared" si="0"/>
        <v>2022</v>
      </c>
      <c r="H31" s="435" t="str">
        <f>+VLOOKUP(I31,U:V,2,0)</f>
        <v>FEBRERO</v>
      </c>
      <c r="I31" s="435">
        <f t="shared" si="1"/>
        <v>2</v>
      </c>
      <c r="J31" s="435">
        <f t="shared" si="2"/>
        <v>8</v>
      </c>
      <c r="K31" s="353">
        <f>+O31+E31</f>
        <v>44610</v>
      </c>
      <c r="L31" s="360">
        <v>1500</v>
      </c>
      <c r="M31" s="354">
        <v>262</v>
      </c>
      <c r="N31" s="128">
        <f t="shared" si="6"/>
        <v>393000</v>
      </c>
      <c r="O31" s="359">
        <v>44520</v>
      </c>
      <c r="P31" s="220" t="s">
        <v>531</v>
      </c>
      <c r="Q31" s="241">
        <v>44600</v>
      </c>
      <c r="R31" s="241"/>
      <c r="S31" s="241"/>
    </row>
    <row r="32" spans="1:19" s="351" customFormat="1" ht="15.75" customHeight="1" x14ac:dyDescent="0.3">
      <c r="A32" s="356" t="s">
        <v>3567</v>
      </c>
      <c r="B32" s="352" t="s">
        <v>1409</v>
      </c>
      <c r="C32" s="357" t="s">
        <v>1433</v>
      </c>
      <c r="D32" s="355" t="s">
        <v>552</v>
      </c>
      <c r="E32" s="361">
        <v>150</v>
      </c>
      <c r="F32" s="358" t="s">
        <v>20</v>
      </c>
      <c r="G32" s="436">
        <f t="shared" si="0"/>
        <v>2022</v>
      </c>
      <c r="H32" s="435" t="str">
        <f>+VLOOKUP(I32,U:V,2,0)</f>
        <v>MARZO</v>
      </c>
      <c r="I32" s="435">
        <f t="shared" si="1"/>
        <v>3</v>
      </c>
      <c r="J32" s="435">
        <f t="shared" si="2"/>
        <v>11</v>
      </c>
      <c r="K32" s="353">
        <f>+O32+E32</f>
        <v>44632</v>
      </c>
      <c r="L32" s="360">
        <v>6300</v>
      </c>
      <c r="M32" s="354">
        <v>443.88</v>
      </c>
      <c r="N32" s="128">
        <f t="shared" si="6"/>
        <v>2796444</v>
      </c>
      <c r="O32" s="359">
        <v>44482</v>
      </c>
      <c r="P32" s="322" t="s">
        <v>1534</v>
      </c>
      <c r="Q32" s="241"/>
      <c r="R32" s="241"/>
      <c r="S32" s="241"/>
    </row>
    <row r="33" spans="1:19" s="351" customFormat="1" ht="15.75" customHeight="1" x14ac:dyDescent="0.3">
      <c r="A33" s="356" t="s">
        <v>3597</v>
      </c>
      <c r="B33" s="352" t="s">
        <v>1349</v>
      </c>
      <c r="C33" s="357" t="s">
        <v>1433</v>
      </c>
      <c r="D33" s="355" t="s">
        <v>552</v>
      </c>
      <c r="E33" s="361">
        <v>150</v>
      </c>
      <c r="F33" s="358" t="s">
        <v>20</v>
      </c>
      <c r="G33" s="436">
        <f t="shared" si="0"/>
        <v>2022</v>
      </c>
      <c r="H33" s="435" t="str">
        <f>+VLOOKUP(I33,U:V,2,0)</f>
        <v>MARZO</v>
      </c>
      <c r="I33" s="435">
        <f t="shared" si="1"/>
        <v>3</v>
      </c>
      <c r="J33" s="435">
        <f t="shared" si="2"/>
        <v>11</v>
      </c>
      <c r="K33" s="353">
        <f>+O33+E33</f>
        <v>44632</v>
      </c>
      <c r="L33" s="360">
        <v>2700</v>
      </c>
      <c r="M33" s="354">
        <v>573.24</v>
      </c>
      <c r="N33" s="128">
        <f t="shared" si="6"/>
        <v>1547748</v>
      </c>
      <c r="O33" s="359">
        <v>44482</v>
      </c>
      <c r="P33" s="322" t="s">
        <v>1534</v>
      </c>
      <c r="Q33" s="241"/>
      <c r="R33" s="241"/>
      <c r="S33" s="241"/>
    </row>
    <row r="34" spans="1:19" s="351" customFormat="1" ht="15.75" customHeight="1" x14ac:dyDescent="0.3">
      <c r="A34" s="356" t="s">
        <v>3680</v>
      </c>
      <c r="B34" s="352" t="s">
        <v>3600</v>
      </c>
      <c r="C34" s="357" t="s">
        <v>42</v>
      </c>
      <c r="D34" s="289" t="s">
        <v>3735</v>
      </c>
      <c r="E34" s="361">
        <v>150</v>
      </c>
      <c r="F34" s="358" t="s">
        <v>20</v>
      </c>
      <c r="G34" s="436">
        <f t="shared" si="0"/>
        <v>2022</v>
      </c>
      <c r="H34" s="435" t="str">
        <f>+VLOOKUP(I34,U:V,2,0)</f>
        <v>MARZO</v>
      </c>
      <c r="I34" s="435">
        <f t="shared" si="1"/>
        <v>3</v>
      </c>
      <c r="J34" s="435">
        <f t="shared" si="2"/>
        <v>14</v>
      </c>
      <c r="K34" s="353">
        <f>+O34+E34</f>
        <v>44648</v>
      </c>
      <c r="L34" s="360">
        <v>49</v>
      </c>
      <c r="M34" s="354">
        <v>2100</v>
      </c>
      <c r="N34" s="128">
        <f t="shared" si="6"/>
        <v>102900</v>
      </c>
      <c r="O34" s="359">
        <v>44498</v>
      </c>
      <c r="P34" s="322"/>
      <c r="Q34" s="241"/>
      <c r="R34" s="241"/>
      <c r="S34" s="241"/>
    </row>
    <row r="35" spans="1:19" s="351" customFormat="1" ht="15.75" customHeight="1" x14ac:dyDescent="0.3">
      <c r="A35" s="356" t="s">
        <v>3681</v>
      </c>
      <c r="B35" s="352" t="s">
        <v>3600</v>
      </c>
      <c r="C35" s="357" t="s">
        <v>42</v>
      </c>
      <c r="D35" s="355" t="s">
        <v>3904</v>
      </c>
      <c r="E35" s="361">
        <v>150</v>
      </c>
      <c r="F35" s="358" t="s">
        <v>20</v>
      </c>
      <c r="G35" s="436">
        <f t="shared" si="0"/>
        <v>2022</v>
      </c>
      <c r="H35" s="435" t="str">
        <f t="shared" ref="H35" si="7">+VLOOKUP(I35,U:V,2,0)</f>
        <v>ABRIL</v>
      </c>
      <c r="I35" s="435">
        <f t="shared" si="1"/>
        <v>4</v>
      </c>
      <c r="J35" s="435">
        <f t="shared" si="2"/>
        <v>18</v>
      </c>
      <c r="K35" s="353">
        <f>+O35+E35</f>
        <v>44676</v>
      </c>
      <c r="L35" s="360">
        <v>49</v>
      </c>
      <c r="M35" s="354">
        <v>2100</v>
      </c>
      <c r="N35" s="128">
        <f t="shared" si="6"/>
        <v>102900</v>
      </c>
      <c r="O35" s="359">
        <v>44526</v>
      </c>
      <c r="P35" s="322"/>
      <c r="Q35" s="241"/>
      <c r="R35" s="241"/>
      <c r="S35" s="241"/>
    </row>
    <row r="36" spans="1:19" s="351" customFormat="1" ht="15.75" customHeight="1" x14ac:dyDescent="0.3">
      <c r="A36" s="356" t="s">
        <v>3625</v>
      </c>
      <c r="B36" s="352" t="s">
        <v>1649</v>
      </c>
      <c r="C36" s="357" t="s">
        <v>331</v>
      </c>
      <c r="D36" s="355" t="s">
        <v>3989</v>
      </c>
      <c r="E36" s="361">
        <v>30</v>
      </c>
      <c r="F36" s="358" t="s">
        <v>45</v>
      </c>
      <c r="G36" s="436">
        <f t="shared" si="0"/>
        <v>2022</v>
      </c>
      <c r="H36" s="435" t="str">
        <f>+VLOOKUP(I36,U:V,2,0)</f>
        <v>FEBRERO</v>
      </c>
      <c r="I36" s="435">
        <f t="shared" si="1"/>
        <v>2</v>
      </c>
      <c r="J36" s="435">
        <f t="shared" si="2"/>
        <v>9</v>
      </c>
      <c r="K36" s="353">
        <v>44617</v>
      </c>
      <c r="L36" s="360">
        <v>168</v>
      </c>
      <c r="M36" s="354">
        <v>320</v>
      </c>
      <c r="N36" s="128">
        <f t="shared" si="6"/>
        <v>53760</v>
      </c>
      <c r="O36" s="359">
        <v>44913</v>
      </c>
      <c r="P36" s="322"/>
      <c r="Q36" s="241">
        <v>44600</v>
      </c>
      <c r="R36" s="241"/>
      <c r="S36" s="241"/>
    </row>
    <row r="37" spans="1:19" s="351" customFormat="1" ht="15.75" customHeight="1" x14ac:dyDescent="0.3">
      <c r="A37" s="356" t="s">
        <v>3616</v>
      </c>
      <c r="B37" s="352" t="s">
        <v>3618</v>
      </c>
      <c r="C37" s="357" t="s">
        <v>1497</v>
      </c>
      <c r="D37" s="355" t="s">
        <v>3970</v>
      </c>
      <c r="E37" s="361">
        <v>90</v>
      </c>
      <c r="F37" s="358" t="s">
        <v>20</v>
      </c>
      <c r="G37" s="436">
        <f t="shared" si="0"/>
        <v>2022</v>
      </c>
      <c r="H37" s="435" t="str">
        <f>+VLOOKUP(I37,U:V,2,0)</f>
        <v>MARZO</v>
      </c>
      <c r="I37" s="435">
        <f t="shared" si="1"/>
        <v>3</v>
      </c>
      <c r="J37" s="435">
        <f t="shared" si="2"/>
        <v>14</v>
      </c>
      <c r="K37" s="353">
        <f>+O37+E37</f>
        <v>44650</v>
      </c>
      <c r="L37" s="360">
        <v>101.25</v>
      </c>
      <c r="M37" s="354">
        <v>1048</v>
      </c>
      <c r="N37" s="128">
        <f t="shared" si="6"/>
        <v>106110</v>
      </c>
      <c r="O37" s="359">
        <v>44560</v>
      </c>
      <c r="P37" s="322"/>
      <c r="Q37" s="241"/>
      <c r="R37" s="241"/>
      <c r="S37" s="241"/>
    </row>
    <row r="38" spans="1:19" s="351" customFormat="1" ht="15.75" customHeight="1" x14ac:dyDescent="0.3">
      <c r="A38" s="356" t="s">
        <v>3768</v>
      </c>
      <c r="B38" s="352" t="s">
        <v>1601</v>
      </c>
      <c r="C38" s="357" t="s">
        <v>42</v>
      </c>
      <c r="D38" s="355"/>
      <c r="E38" s="361" t="s">
        <v>5</v>
      </c>
      <c r="F38" s="358"/>
      <c r="G38" s="436">
        <f t="shared" si="0"/>
        <v>2022</v>
      </c>
      <c r="H38" s="435" t="str">
        <f>+VLOOKUP(I38,U:V,2,0)</f>
        <v>MARZO</v>
      </c>
      <c r="I38" s="435">
        <f t="shared" si="1"/>
        <v>3</v>
      </c>
      <c r="J38" s="435">
        <f t="shared" si="2"/>
        <v>11</v>
      </c>
      <c r="K38" s="353">
        <f>+O38+7</f>
        <v>44629</v>
      </c>
      <c r="L38" s="360">
        <v>84</v>
      </c>
      <c r="M38" s="354">
        <v>347.36</v>
      </c>
      <c r="N38" s="128">
        <f t="shared" si="6"/>
        <v>29178.240000000002</v>
      </c>
      <c r="O38" s="359">
        <v>44622</v>
      </c>
      <c r="P38" s="322"/>
      <c r="Q38" s="241"/>
      <c r="R38" s="241"/>
      <c r="S38" s="241"/>
    </row>
    <row r="39" spans="1:19" s="351" customFormat="1" ht="15.75" customHeight="1" x14ac:dyDescent="0.3">
      <c r="A39" s="356" t="s">
        <v>3653</v>
      </c>
      <c r="B39" s="352" t="s">
        <v>1325</v>
      </c>
      <c r="C39" s="357" t="s">
        <v>928</v>
      </c>
      <c r="D39" s="355"/>
      <c r="E39" s="361">
        <v>90</v>
      </c>
      <c r="F39" s="358" t="s">
        <v>20</v>
      </c>
      <c r="G39" s="436">
        <f t="shared" si="0"/>
        <v>2022</v>
      </c>
      <c r="H39" s="435" t="str">
        <f>+VLOOKUP(I39,U:V,2,0)</f>
        <v>JUNIO</v>
      </c>
      <c r="I39" s="435">
        <f t="shared" si="1"/>
        <v>6</v>
      </c>
      <c r="J39" s="435">
        <f t="shared" si="2"/>
        <v>24</v>
      </c>
      <c r="K39" s="353">
        <f t="shared" ref="K39:K45" si="8">+O39+E39</f>
        <v>44720</v>
      </c>
      <c r="L39" s="360">
        <v>312</v>
      </c>
      <c r="M39" s="354">
        <v>1826</v>
      </c>
      <c r="N39" s="128">
        <f t="shared" si="6"/>
        <v>569712</v>
      </c>
      <c r="O39" s="359">
        <v>44630</v>
      </c>
      <c r="P39" s="322"/>
      <c r="Q39" s="241"/>
      <c r="R39" s="241"/>
      <c r="S39" s="241"/>
    </row>
    <row r="40" spans="1:19" s="351" customFormat="1" ht="15.75" customHeight="1" x14ac:dyDescent="0.3">
      <c r="A40" s="356" t="s">
        <v>3658</v>
      </c>
      <c r="B40" s="352" t="s">
        <v>1649</v>
      </c>
      <c r="C40" s="357" t="s">
        <v>331</v>
      </c>
      <c r="D40" s="355"/>
      <c r="E40" s="361">
        <v>30</v>
      </c>
      <c r="F40" s="358" t="s">
        <v>45</v>
      </c>
      <c r="G40" s="436">
        <f t="shared" si="0"/>
        <v>2022</v>
      </c>
      <c r="H40" s="435" t="str">
        <f>+VLOOKUP(I40,U:V,2,0)</f>
        <v>MARZO</v>
      </c>
      <c r="I40" s="435">
        <f t="shared" si="1"/>
        <v>3</v>
      </c>
      <c r="J40" s="435">
        <f t="shared" si="2"/>
        <v>12</v>
      </c>
      <c r="K40" s="353">
        <f t="shared" si="8"/>
        <v>44633</v>
      </c>
      <c r="L40" s="360">
        <v>552</v>
      </c>
      <c r="M40" s="354">
        <v>296.06</v>
      </c>
      <c r="N40" s="128">
        <f t="shared" si="6"/>
        <v>163425.12</v>
      </c>
      <c r="O40" s="359">
        <v>44603</v>
      </c>
      <c r="P40" s="322"/>
      <c r="Q40" s="241"/>
      <c r="R40" s="241"/>
      <c r="S40" s="241"/>
    </row>
    <row r="41" spans="1:19" s="351" customFormat="1" ht="15.75" customHeight="1" x14ac:dyDescent="0.3">
      <c r="A41" s="356" t="s">
        <v>3697</v>
      </c>
      <c r="B41" s="352" t="s">
        <v>2001</v>
      </c>
      <c r="C41" s="357" t="s">
        <v>1651</v>
      </c>
      <c r="D41" s="355" t="s">
        <v>3699</v>
      </c>
      <c r="E41" s="361">
        <v>90</v>
      </c>
      <c r="F41" s="358" t="s">
        <v>20</v>
      </c>
      <c r="G41" s="436">
        <f t="shared" si="0"/>
        <v>2022</v>
      </c>
      <c r="H41" s="435" t="str">
        <f>+VLOOKUP(I41,U:V,2,0)</f>
        <v>ABRIL</v>
      </c>
      <c r="I41" s="435">
        <f t="shared" si="1"/>
        <v>4</v>
      </c>
      <c r="J41" s="435">
        <f t="shared" si="2"/>
        <v>17</v>
      </c>
      <c r="K41" s="353">
        <f t="shared" si="8"/>
        <v>44674</v>
      </c>
      <c r="L41" s="360">
        <v>400</v>
      </c>
      <c r="M41" s="354">
        <v>339</v>
      </c>
      <c r="N41" s="128">
        <f t="shared" si="6"/>
        <v>135600</v>
      </c>
      <c r="O41" s="359">
        <v>44584</v>
      </c>
      <c r="P41" s="322"/>
      <c r="Q41" s="241"/>
      <c r="R41" s="241"/>
      <c r="S41" s="241"/>
    </row>
    <row r="42" spans="1:19" s="351" customFormat="1" ht="15.75" customHeight="1" x14ac:dyDescent="0.3">
      <c r="A42" s="356" t="s">
        <v>3698</v>
      </c>
      <c r="B42" s="352" t="s">
        <v>1292</v>
      </c>
      <c r="C42" s="357" t="s">
        <v>280</v>
      </c>
      <c r="D42" s="355" t="s">
        <v>3700</v>
      </c>
      <c r="E42" s="361">
        <v>90</v>
      </c>
      <c r="F42" s="358" t="s">
        <v>20</v>
      </c>
      <c r="G42" s="436">
        <f t="shared" ref="G42:G68" si="9">+YEAR(K42)</f>
        <v>2022</v>
      </c>
      <c r="H42" s="435" t="str">
        <f>+VLOOKUP(I42,U:V,2,0)</f>
        <v>MARZO</v>
      </c>
      <c r="I42" s="435">
        <f t="shared" ref="I42:I68" si="10">+MONTH(K42)</f>
        <v>3</v>
      </c>
      <c r="J42" s="435">
        <f t="shared" ref="J42:J68" si="11">+WEEKNUM(K42,1)</f>
        <v>12</v>
      </c>
      <c r="K42" s="353">
        <f t="shared" si="8"/>
        <v>44637</v>
      </c>
      <c r="L42" s="360">
        <v>1700</v>
      </c>
      <c r="M42" s="354">
        <v>313</v>
      </c>
      <c r="N42" s="128">
        <f t="shared" si="6"/>
        <v>532100</v>
      </c>
      <c r="O42" s="359">
        <v>44547</v>
      </c>
      <c r="P42" s="322"/>
      <c r="Q42" s="241"/>
      <c r="R42" s="241"/>
      <c r="S42" s="241"/>
    </row>
    <row r="43" spans="1:19" s="351" customFormat="1" ht="15.75" customHeight="1" x14ac:dyDescent="0.3">
      <c r="A43" s="356" t="s">
        <v>3729</v>
      </c>
      <c r="B43" s="352" t="s">
        <v>1409</v>
      </c>
      <c r="C43" s="357" t="s">
        <v>1433</v>
      </c>
      <c r="D43" s="355" t="s">
        <v>552</v>
      </c>
      <c r="E43" s="361">
        <v>150</v>
      </c>
      <c r="F43" s="358" t="s">
        <v>20</v>
      </c>
      <c r="G43" s="436">
        <f t="shared" si="9"/>
        <v>2022</v>
      </c>
      <c r="H43" s="435" t="str">
        <f>+VLOOKUP(I43,U:V,2,0)</f>
        <v>ABRIL</v>
      </c>
      <c r="I43" s="435">
        <f t="shared" si="10"/>
        <v>4</v>
      </c>
      <c r="J43" s="435">
        <f t="shared" si="11"/>
        <v>15</v>
      </c>
      <c r="K43" s="353">
        <f t="shared" si="8"/>
        <v>44659</v>
      </c>
      <c r="L43" s="360">
        <v>12200</v>
      </c>
      <c r="M43" s="354">
        <v>771.08</v>
      </c>
      <c r="N43" s="128">
        <v>5783100</v>
      </c>
      <c r="O43" s="359">
        <v>44509</v>
      </c>
      <c r="P43" s="322" t="s">
        <v>3791</v>
      </c>
      <c r="Q43" s="241"/>
      <c r="R43" s="241"/>
      <c r="S43" s="241"/>
    </row>
    <row r="44" spans="1:19" s="351" customFormat="1" ht="15.75" customHeight="1" x14ac:dyDescent="0.3">
      <c r="A44" s="356" t="s">
        <v>3724</v>
      </c>
      <c r="B44" s="352" t="s">
        <v>1524</v>
      </c>
      <c r="C44" s="357" t="s">
        <v>331</v>
      </c>
      <c r="D44" s="355"/>
      <c r="E44" s="361">
        <v>60</v>
      </c>
      <c r="F44" s="358" t="s">
        <v>45</v>
      </c>
      <c r="G44" s="436">
        <f t="shared" si="9"/>
        <v>2022</v>
      </c>
      <c r="H44" s="435" t="str">
        <f>+VLOOKUP(I44,U:V,2,0)</f>
        <v>MARZO</v>
      </c>
      <c r="I44" s="435">
        <f t="shared" si="10"/>
        <v>3</v>
      </c>
      <c r="J44" s="435">
        <f t="shared" si="11"/>
        <v>13</v>
      </c>
      <c r="K44" s="353">
        <f t="shared" si="8"/>
        <v>44642</v>
      </c>
      <c r="L44" s="360">
        <v>222.1</v>
      </c>
      <c r="M44" s="354">
        <v>791</v>
      </c>
      <c r="N44" s="128">
        <f>+M44*L44</f>
        <v>175681.1</v>
      </c>
      <c r="O44" s="359">
        <v>44582</v>
      </c>
      <c r="P44" s="322"/>
      <c r="Q44" s="241"/>
      <c r="R44" s="241"/>
      <c r="S44" s="241"/>
    </row>
    <row r="45" spans="1:19" s="351" customFormat="1" ht="15.6" customHeight="1" x14ac:dyDescent="0.3">
      <c r="A45" s="356" t="s">
        <v>3725</v>
      </c>
      <c r="B45" s="352" t="s">
        <v>1524</v>
      </c>
      <c r="C45" s="357" t="s">
        <v>331</v>
      </c>
      <c r="D45" s="355"/>
      <c r="E45" s="361">
        <v>60</v>
      </c>
      <c r="F45" s="358" t="s">
        <v>45</v>
      </c>
      <c r="G45" s="436">
        <f t="shared" si="9"/>
        <v>2022</v>
      </c>
      <c r="H45" s="435" t="str">
        <f>+VLOOKUP(I45,U:V,2,0)</f>
        <v>MARZO</v>
      </c>
      <c r="I45" s="435">
        <f t="shared" si="10"/>
        <v>3</v>
      </c>
      <c r="J45" s="435">
        <f t="shared" si="11"/>
        <v>13</v>
      </c>
      <c r="K45" s="353">
        <f t="shared" si="8"/>
        <v>44643</v>
      </c>
      <c r="L45" s="360">
        <v>220</v>
      </c>
      <c r="M45" s="354">
        <v>806</v>
      </c>
      <c r="N45" s="128">
        <f>+M45*L45</f>
        <v>177320</v>
      </c>
      <c r="O45" s="359">
        <v>44583</v>
      </c>
      <c r="P45" s="322"/>
      <c r="Q45" s="241"/>
      <c r="R45" s="241"/>
      <c r="S45" s="241"/>
    </row>
    <row r="46" spans="1:19" s="351" customFormat="1" ht="15.75" customHeight="1" x14ac:dyDescent="0.3">
      <c r="A46" s="356" t="s">
        <v>3811</v>
      </c>
      <c r="B46" s="352" t="s">
        <v>1295</v>
      </c>
      <c r="C46" s="357" t="s">
        <v>1651</v>
      </c>
      <c r="D46" s="355" t="s">
        <v>3809</v>
      </c>
      <c r="E46" s="361">
        <v>150</v>
      </c>
      <c r="F46" s="358" t="s">
        <v>20</v>
      </c>
      <c r="G46" s="436">
        <f t="shared" si="9"/>
        <v>2022</v>
      </c>
      <c r="H46" s="435" t="str">
        <f>+VLOOKUP(I46,U:V,2,0)</f>
        <v>MAYO</v>
      </c>
      <c r="I46" s="435">
        <f t="shared" si="10"/>
        <v>5</v>
      </c>
      <c r="J46" s="435">
        <f t="shared" si="11"/>
        <v>21</v>
      </c>
      <c r="K46" s="353">
        <f>+O46+E46</f>
        <v>44700</v>
      </c>
      <c r="L46" s="360">
        <v>400</v>
      </c>
      <c r="M46" s="354">
        <v>1142</v>
      </c>
      <c r="N46" s="128">
        <f t="shared" ref="N46:N74" si="12">+M46*L46</f>
        <v>456800</v>
      </c>
      <c r="O46" s="359">
        <v>44550</v>
      </c>
      <c r="P46" s="322"/>
      <c r="Q46" s="241"/>
      <c r="R46" s="241"/>
      <c r="S46" s="241"/>
    </row>
    <row r="47" spans="1:19" s="351" customFormat="1" ht="15.75" customHeight="1" x14ac:dyDescent="0.3">
      <c r="A47" s="356" t="s">
        <v>3812</v>
      </c>
      <c r="B47" s="352" t="s">
        <v>1295</v>
      </c>
      <c r="C47" s="357" t="s">
        <v>1651</v>
      </c>
      <c r="D47" s="355" t="s">
        <v>3809</v>
      </c>
      <c r="E47" s="361">
        <v>150</v>
      </c>
      <c r="F47" s="358" t="s">
        <v>20</v>
      </c>
      <c r="G47" s="436">
        <f t="shared" si="9"/>
        <v>2022</v>
      </c>
      <c r="H47" s="435" t="str">
        <f>+VLOOKUP(I47,U:V,2,0)</f>
        <v>JUNIO</v>
      </c>
      <c r="I47" s="435">
        <f t="shared" si="10"/>
        <v>6</v>
      </c>
      <c r="J47" s="435">
        <f t="shared" si="11"/>
        <v>24</v>
      </c>
      <c r="K47" s="353">
        <f>+O47+E47</f>
        <v>44721</v>
      </c>
      <c r="L47" s="360">
        <v>400</v>
      </c>
      <c r="M47" s="354">
        <v>1142</v>
      </c>
      <c r="N47" s="128">
        <f t="shared" si="12"/>
        <v>456800</v>
      </c>
      <c r="O47" s="359">
        <v>44571</v>
      </c>
      <c r="P47" s="322"/>
      <c r="Q47" s="241"/>
      <c r="R47" s="241"/>
      <c r="S47" s="241"/>
    </row>
    <row r="48" spans="1:19" s="351" customFormat="1" ht="15.75" customHeight="1" x14ac:dyDescent="0.3">
      <c r="A48" s="356" t="s">
        <v>3742</v>
      </c>
      <c r="B48" s="352" t="s">
        <v>1309</v>
      </c>
      <c r="C48" s="357" t="s">
        <v>1651</v>
      </c>
      <c r="D48" s="355" t="s">
        <v>3810</v>
      </c>
      <c r="E48" s="361">
        <v>90</v>
      </c>
      <c r="F48" s="358" t="s">
        <v>20</v>
      </c>
      <c r="G48" s="436">
        <f t="shared" si="9"/>
        <v>2022</v>
      </c>
      <c r="H48" s="435" t="str">
        <f>+VLOOKUP(I48,U:V,2,0)</f>
        <v>ABRIL</v>
      </c>
      <c r="I48" s="435">
        <f t="shared" si="10"/>
        <v>4</v>
      </c>
      <c r="J48" s="435">
        <f t="shared" si="11"/>
        <v>16</v>
      </c>
      <c r="K48" s="353">
        <f>+O48+E48</f>
        <v>44661</v>
      </c>
      <c r="L48" s="360">
        <v>3000</v>
      </c>
      <c r="M48" s="354">
        <v>435</v>
      </c>
      <c r="N48" s="128">
        <f t="shared" si="12"/>
        <v>1305000</v>
      </c>
      <c r="O48" s="359">
        <v>44571</v>
      </c>
      <c r="P48" s="322"/>
      <c r="Q48" s="241"/>
      <c r="R48" s="241"/>
      <c r="S48" s="241"/>
    </row>
    <row r="49" spans="1:19" s="351" customFormat="1" ht="15.75" customHeight="1" x14ac:dyDescent="0.3">
      <c r="A49" s="356" t="s">
        <v>3976</v>
      </c>
      <c r="B49" s="352" t="s">
        <v>1649</v>
      </c>
      <c r="C49" s="357" t="s">
        <v>331</v>
      </c>
      <c r="D49" s="355" t="s">
        <v>3991</v>
      </c>
      <c r="E49" s="361">
        <v>30</v>
      </c>
      <c r="F49" s="358" t="s">
        <v>45</v>
      </c>
      <c r="G49" s="436">
        <f t="shared" si="9"/>
        <v>2022</v>
      </c>
      <c r="H49" s="435" t="str">
        <f>+VLOOKUP(I49,U:V,2,0)</f>
        <v>MARZO</v>
      </c>
      <c r="I49" s="435">
        <f t="shared" si="10"/>
        <v>3</v>
      </c>
      <c r="J49" s="435">
        <f t="shared" si="11"/>
        <v>10</v>
      </c>
      <c r="K49" s="353">
        <v>44622</v>
      </c>
      <c r="L49" s="360">
        <v>216</v>
      </c>
      <c r="M49" s="354">
        <v>372.44</v>
      </c>
      <c r="N49" s="128">
        <f t="shared" si="12"/>
        <v>80447.039999999994</v>
      </c>
      <c r="O49" s="359">
        <v>44589</v>
      </c>
      <c r="P49" s="322"/>
      <c r="Q49" s="241"/>
      <c r="R49" s="241"/>
      <c r="S49" s="241"/>
    </row>
    <row r="50" spans="1:19" s="351" customFormat="1" ht="15.75" customHeight="1" x14ac:dyDescent="0.3">
      <c r="A50" s="356" t="s">
        <v>3861</v>
      </c>
      <c r="B50" s="352" t="s">
        <v>3750</v>
      </c>
      <c r="C50" s="357" t="s">
        <v>331</v>
      </c>
      <c r="D50" s="355"/>
      <c r="E50" s="361" t="s">
        <v>5</v>
      </c>
      <c r="F50" s="358"/>
      <c r="G50" s="436">
        <f t="shared" si="9"/>
        <v>2022</v>
      </c>
      <c r="H50" s="435" t="str">
        <f>+VLOOKUP(I50,U:V,2,0)</f>
        <v>MARZO</v>
      </c>
      <c r="I50" s="435">
        <f t="shared" si="10"/>
        <v>3</v>
      </c>
      <c r="J50" s="435">
        <f t="shared" si="11"/>
        <v>10</v>
      </c>
      <c r="K50" s="353">
        <f>+O50+7</f>
        <v>44621</v>
      </c>
      <c r="L50" s="360">
        <v>27</v>
      </c>
      <c r="M50" s="354">
        <v>334.22</v>
      </c>
      <c r="N50" s="128">
        <f t="shared" si="12"/>
        <v>9023.94</v>
      </c>
      <c r="O50" s="359">
        <v>44614</v>
      </c>
      <c r="P50" s="322" t="s">
        <v>2923</v>
      </c>
      <c r="Q50" s="241"/>
      <c r="R50" s="241"/>
      <c r="S50" s="241"/>
    </row>
    <row r="51" spans="1:19" s="351" customFormat="1" ht="15.75" customHeight="1" x14ac:dyDescent="0.3">
      <c r="A51" s="356" t="s">
        <v>3870</v>
      </c>
      <c r="B51" s="352" t="s">
        <v>2000</v>
      </c>
      <c r="C51" s="357" t="s">
        <v>2727</v>
      </c>
      <c r="D51" s="355"/>
      <c r="E51" s="361">
        <v>60</v>
      </c>
      <c r="F51" s="358" t="s">
        <v>20</v>
      </c>
      <c r="G51" s="436">
        <f t="shared" si="9"/>
        <v>2022</v>
      </c>
      <c r="H51" s="435" t="str">
        <f>+VLOOKUP(I51,U:V,2,0)</f>
        <v>ABRIL</v>
      </c>
      <c r="I51" s="435">
        <f t="shared" si="10"/>
        <v>4</v>
      </c>
      <c r="J51" s="435">
        <f t="shared" si="11"/>
        <v>16</v>
      </c>
      <c r="K51" s="353">
        <f t="shared" ref="K51:K56" si="13">+O51+E51</f>
        <v>44666</v>
      </c>
      <c r="L51" s="360">
        <v>195</v>
      </c>
      <c r="M51" s="354">
        <v>2975</v>
      </c>
      <c r="N51" s="128">
        <f t="shared" si="12"/>
        <v>580125</v>
      </c>
      <c r="O51" s="359">
        <v>44606</v>
      </c>
      <c r="P51" s="322"/>
      <c r="Q51" s="241"/>
      <c r="R51" s="241"/>
      <c r="S51" s="241"/>
    </row>
    <row r="52" spans="1:19" s="351" customFormat="1" ht="15.75" customHeight="1" x14ac:dyDescent="0.3">
      <c r="A52" s="356" t="s">
        <v>3746</v>
      </c>
      <c r="B52" s="352" t="s">
        <v>1595</v>
      </c>
      <c r="C52" s="357" t="s">
        <v>494</v>
      </c>
      <c r="D52" s="355" t="s">
        <v>552</v>
      </c>
      <c r="E52" s="361">
        <v>180</v>
      </c>
      <c r="F52" s="358" t="s">
        <v>20</v>
      </c>
      <c r="G52" s="436">
        <f t="shared" si="9"/>
        <v>2022</v>
      </c>
      <c r="H52" s="435" t="str">
        <f>+VLOOKUP(I52,U:V,2,0)</f>
        <v>JULIO</v>
      </c>
      <c r="I52" s="435">
        <f t="shared" si="10"/>
        <v>7</v>
      </c>
      <c r="J52" s="435">
        <f t="shared" si="11"/>
        <v>28</v>
      </c>
      <c r="K52" s="353">
        <f t="shared" si="13"/>
        <v>44751</v>
      </c>
      <c r="L52" s="360">
        <v>7150</v>
      </c>
      <c r="M52" s="354">
        <v>516.42999999999995</v>
      </c>
      <c r="N52" s="128">
        <f t="shared" si="12"/>
        <v>3692474.4999999995</v>
      </c>
      <c r="O52" s="359">
        <v>44571</v>
      </c>
      <c r="P52" s="322" t="s">
        <v>3929</v>
      </c>
      <c r="Q52" s="241">
        <v>44579</v>
      </c>
      <c r="R52" s="241"/>
      <c r="S52" s="241"/>
    </row>
    <row r="53" spans="1:19" s="351" customFormat="1" ht="15.75" customHeight="1" x14ac:dyDescent="0.3">
      <c r="A53" s="356" t="s">
        <v>3747</v>
      </c>
      <c r="B53" s="352" t="s">
        <v>1439</v>
      </c>
      <c r="C53" s="357" t="s">
        <v>494</v>
      </c>
      <c r="D53" s="355" t="s">
        <v>552</v>
      </c>
      <c r="E53" s="361">
        <v>180</v>
      </c>
      <c r="F53" s="358" t="s">
        <v>20</v>
      </c>
      <c r="G53" s="436">
        <f t="shared" si="9"/>
        <v>2022</v>
      </c>
      <c r="H53" s="435" t="str">
        <f>+VLOOKUP(I53,U:V,2,0)</f>
        <v>JULIO</v>
      </c>
      <c r="I53" s="435">
        <f t="shared" si="10"/>
        <v>7</v>
      </c>
      <c r="J53" s="435">
        <f t="shared" si="11"/>
        <v>28</v>
      </c>
      <c r="K53" s="353">
        <f t="shared" si="13"/>
        <v>44751</v>
      </c>
      <c r="L53" s="360">
        <v>550</v>
      </c>
      <c r="M53" s="354">
        <v>602.5</v>
      </c>
      <c r="N53" s="128">
        <f t="shared" si="12"/>
        <v>331375</v>
      </c>
      <c r="O53" s="359">
        <v>44571</v>
      </c>
      <c r="P53" s="322" t="s">
        <v>3929</v>
      </c>
      <c r="Q53" s="241">
        <v>44579</v>
      </c>
      <c r="R53" s="241"/>
      <c r="S53" s="241"/>
    </row>
    <row r="54" spans="1:19" s="351" customFormat="1" ht="15.75" customHeight="1" x14ac:dyDescent="0.3">
      <c r="A54" s="356" t="s">
        <v>3748</v>
      </c>
      <c r="B54" s="352" t="s">
        <v>1293</v>
      </c>
      <c r="C54" s="357" t="s">
        <v>280</v>
      </c>
      <c r="D54" s="355" t="s">
        <v>3752</v>
      </c>
      <c r="E54" s="361">
        <v>90</v>
      </c>
      <c r="F54" s="358" t="s">
        <v>20</v>
      </c>
      <c r="G54" s="436">
        <f t="shared" si="9"/>
        <v>2022</v>
      </c>
      <c r="H54" s="435" t="str">
        <f>+VLOOKUP(I54,U:V,2,0)</f>
        <v>MARZO</v>
      </c>
      <c r="I54" s="435">
        <f t="shared" si="10"/>
        <v>3</v>
      </c>
      <c r="J54" s="435">
        <f t="shared" si="11"/>
        <v>14</v>
      </c>
      <c r="K54" s="353">
        <f t="shared" si="13"/>
        <v>44650</v>
      </c>
      <c r="L54" s="360">
        <v>700</v>
      </c>
      <c r="M54" s="354">
        <v>449</v>
      </c>
      <c r="N54" s="128">
        <f t="shared" si="12"/>
        <v>314300</v>
      </c>
      <c r="O54" s="359">
        <v>44560</v>
      </c>
      <c r="P54" s="322"/>
      <c r="Q54" s="241"/>
      <c r="R54" s="241"/>
      <c r="S54" s="241"/>
    </row>
    <row r="55" spans="1:19" s="351" customFormat="1" ht="15.75" customHeight="1" x14ac:dyDescent="0.3">
      <c r="A55" s="356" t="s">
        <v>3977</v>
      </c>
      <c r="B55" s="352" t="s">
        <v>1292</v>
      </c>
      <c r="C55" s="357" t="s">
        <v>280</v>
      </c>
      <c r="D55" s="355" t="s">
        <v>3979</v>
      </c>
      <c r="E55" s="361">
        <v>90</v>
      </c>
      <c r="F55" s="358" t="s">
        <v>20</v>
      </c>
      <c r="G55" s="436">
        <f t="shared" si="9"/>
        <v>2022</v>
      </c>
      <c r="H55" s="435" t="str">
        <f>+VLOOKUP(I55,U:V,2,0)</f>
        <v>MARZO</v>
      </c>
      <c r="I55" s="435">
        <f t="shared" si="10"/>
        <v>3</v>
      </c>
      <c r="J55" s="435">
        <f t="shared" si="11"/>
        <v>12</v>
      </c>
      <c r="K55" s="353">
        <f t="shared" si="13"/>
        <v>44637</v>
      </c>
      <c r="L55" s="360">
        <v>1340</v>
      </c>
      <c r="M55" s="354">
        <v>311</v>
      </c>
      <c r="N55" s="128">
        <f t="shared" si="12"/>
        <v>416740</v>
      </c>
      <c r="O55" s="359">
        <v>44547</v>
      </c>
      <c r="P55" s="322"/>
      <c r="Q55" s="241"/>
      <c r="R55" s="241"/>
      <c r="S55" s="241"/>
    </row>
    <row r="56" spans="1:19" s="351" customFormat="1" ht="15.75" customHeight="1" x14ac:dyDescent="0.3">
      <c r="A56" s="356" t="s">
        <v>3978</v>
      </c>
      <c r="B56" s="352" t="s">
        <v>1292</v>
      </c>
      <c r="C56" s="357" t="s">
        <v>280</v>
      </c>
      <c r="D56" s="355" t="s">
        <v>3753</v>
      </c>
      <c r="E56" s="361">
        <v>90</v>
      </c>
      <c r="F56" s="358" t="s">
        <v>20</v>
      </c>
      <c r="G56" s="436">
        <f t="shared" si="9"/>
        <v>2022</v>
      </c>
      <c r="H56" s="435" t="str">
        <f>+VLOOKUP(I56,U:V,2,0)</f>
        <v>ABRIL</v>
      </c>
      <c r="I56" s="435">
        <f t="shared" si="10"/>
        <v>4</v>
      </c>
      <c r="J56" s="435">
        <f t="shared" si="11"/>
        <v>15</v>
      </c>
      <c r="K56" s="353">
        <f t="shared" si="13"/>
        <v>44658</v>
      </c>
      <c r="L56" s="360">
        <v>1460</v>
      </c>
      <c r="M56" s="354">
        <v>311</v>
      </c>
      <c r="N56" s="128">
        <f t="shared" si="12"/>
        <v>454060</v>
      </c>
      <c r="O56" s="359">
        <v>44568</v>
      </c>
      <c r="P56" s="322"/>
      <c r="Q56" s="241"/>
      <c r="R56" s="241"/>
      <c r="S56" s="241"/>
    </row>
    <row r="57" spans="1:19" s="351" customFormat="1" ht="15.75" customHeight="1" x14ac:dyDescent="0.3">
      <c r="A57" s="356" t="s">
        <v>3980</v>
      </c>
      <c r="B57" s="352" t="s">
        <v>1326</v>
      </c>
      <c r="C57" s="357" t="s">
        <v>1497</v>
      </c>
      <c r="D57" s="355"/>
      <c r="E57" s="361" t="s">
        <v>5</v>
      </c>
      <c r="F57" s="358"/>
      <c r="G57" s="436">
        <f t="shared" si="9"/>
        <v>2022</v>
      </c>
      <c r="H57" s="435" t="str">
        <f>+VLOOKUP(I57,U:V,2,0)</f>
        <v>MARZO</v>
      </c>
      <c r="I57" s="435">
        <f t="shared" si="10"/>
        <v>3</v>
      </c>
      <c r="J57" s="435">
        <f t="shared" si="11"/>
        <v>11</v>
      </c>
      <c r="K57" s="353">
        <f>+O57+7</f>
        <v>44627</v>
      </c>
      <c r="L57" s="360">
        <v>3000</v>
      </c>
      <c r="M57" s="354">
        <v>1028.5</v>
      </c>
      <c r="N57" s="128">
        <f t="shared" si="12"/>
        <v>3085500</v>
      </c>
      <c r="O57" s="359">
        <v>44620</v>
      </c>
      <c r="P57" s="322"/>
      <c r="Q57" s="241"/>
      <c r="R57" s="241"/>
      <c r="S57" s="241"/>
    </row>
    <row r="58" spans="1:19" s="351" customFormat="1" ht="15.75" customHeight="1" x14ac:dyDescent="0.3">
      <c r="A58" s="356" t="s">
        <v>3981</v>
      </c>
      <c r="B58" s="352" t="s">
        <v>1326</v>
      </c>
      <c r="C58" s="357" t="s">
        <v>1497</v>
      </c>
      <c r="D58" s="355"/>
      <c r="E58" s="361" t="s">
        <v>5</v>
      </c>
      <c r="F58" s="358"/>
      <c r="G58" s="436">
        <f t="shared" si="9"/>
        <v>2022</v>
      </c>
      <c r="H58" s="435" t="str">
        <f>+VLOOKUP(I58,U:V,2,0)</f>
        <v>MARZO</v>
      </c>
      <c r="I58" s="435">
        <f t="shared" si="10"/>
        <v>3</v>
      </c>
      <c r="J58" s="435">
        <f t="shared" si="11"/>
        <v>11</v>
      </c>
      <c r="K58" s="353">
        <f>+O58+7</f>
        <v>44627</v>
      </c>
      <c r="L58" s="360">
        <v>2000</v>
      </c>
      <c r="M58" s="354">
        <v>1028.5</v>
      </c>
      <c r="N58" s="128">
        <f t="shared" si="12"/>
        <v>2057000</v>
      </c>
      <c r="O58" s="359">
        <v>44620</v>
      </c>
      <c r="P58" s="322"/>
      <c r="Q58" s="241"/>
      <c r="R58" s="241"/>
      <c r="S58" s="241"/>
    </row>
    <row r="59" spans="1:19" s="351" customFormat="1" ht="15.75" customHeight="1" x14ac:dyDescent="0.3">
      <c r="A59" s="356" t="s">
        <v>3763</v>
      </c>
      <c r="B59" s="352" t="s">
        <v>1598</v>
      </c>
      <c r="C59" s="357" t="s">
        <v>1497</v>
      </c>
      <c r="D59" s="289" t="s">
        <v>3908</v>
      </c>
      <c r="E59" s="361">
        <v>90</v>
      </c>
      <c r="F59" s="358" t="s">
        <v>20</v>
      </c>
      <c r="G59" s="436">
        <f t="shared" si="9"/>
        <v>2022</v>
      </c>
      <c r="H59" s="435" t="str">
        <f>+VLOOKUP(I59,U:V,2,0)</f>
        <v>MARZO</v>
      </c>
      <c r="I59" s="435">
        <f t="shared" si="10"/>
        <v>3</v>
      </c>
      <c r="J59" s="435">
        <f t="shared" si="11"/>
        <v>14</v>
      </c>
      <c r="K59" s="353">
        <f>+O59+E59</f>
        <v>44647</v>
      </c>
      <c r="L59" s="360">
        <v>10</v>
      </c>
      <c r="M59" s="354">
        <v>13400</v>
      </c>
      <c r="N59" s="128">
        <f t="shared" si="12"/>
        <v>134000</v>
      </c>
      <c r="O59" s="359">
        <v>44557</v>
      </c>
      <c r="P59" s="322"/>
      <c r="Q59" s="241"/>
      <c r="R59" s="241"/>
      <c r="S59" s="241"/>
    </row>
    <row r="60" spans="1:19" s="351" customFormat="1" ht="15.75" customHeight="1" x14ac:dyDescent="0.3">
      <c r="A60" s="356" t="s">
        <v>3814</v>
      </c>
      <c r="B60" s="352" t="s">
        <v>3818</v>
      </c>
      <c r="C60" s="357" t="s">
        <v>3820</v>
      </c>
      <c r="D60" s="355" t="s">
        <v>3992</v>
      </c>
      <c r="E60" s="361">
        <v>90</v>
      </c>
      <c r="F60" s="358" t="s">
        <v>20</v>
      </c>
      <c r="G60" s="436">
        <f t="shared" si="9"/>
        <v>2022</v>
      </c>
      <c r="H60" s="435" t="str">
        <f>+VLOOKUP(I60,U:V,2,0)</f>
        <v>ABRIL</v>
      </c>
      <c r="I60" s="435">
        <f t="shared" si="10"/>
        <v>4</v>
      </c>
      <c r="J60" s="435">
        <f t="shared" si="11"/>
        <v>17</v>
      </c>
      <c r="K60" s="353">
        <f>+O60+E60</f>
        <v>44669</v>
      </c>
      <c r="L60" s="360">
        <v>5.75</v>
      </c>
      <c r="M60" s="354">
        <v>25.88748</v>
      </c>
      <c r="N60" s="128">
        <f t="shared" si="12"/>
        <v>148.85301000000001</v>
      </c>
      <c r="O60" s="359">
        <v>44579</v>
      </c>
      <c r="P60" s="322"/>
      <c r="Q60" s="241"/>
      <c r="R60" s="241"/>
      <c r="S60" s="241"/>
    </row>
    <row r="61" spans="1:19" s="351" customFormat="1" ht="15.75" customHeight="1" x14ac:dyDescent="0.3">
      <c r="A61" s="356" t="s">
        <v>3815</v>
      </c>
      <c r="B61" s="352" t="s">
        <v>2205</v>
      </c>
      <c r="C61" s="357" t="s">
        <v>331</v>
      </c>
      <c r="D61" s="355"/>
      <c r="E61" s="361" t="s">
        <v>5</v>
      </c>
      <c r="F61" s="358"/>
      <c r="G61" s="436">
        <f t="shared" si="9"/>
        <v>2022</v>
      </c>
      <c r="H61" s="435" t="str">
        <f>+VLOOKUP(I61,U:V,2,0)</f>
        <v>MARZO</v>
      </c>
      <c r="I61" s="435">
        <f t="shared" si="10"/>
        <v>3</v>
      </c>
      <c r="J61" s="435">
        <f t="shared" si="11"/>
        <v>14</v>
      </c>
      <c r="K61" s="353">
        <f>+O61+7</f>
        <v>44650</v>
      </c>
      <c r="L61" s="360">
        <v>5.9004000000000003</v>
      </c>
      <c r="M61" s="354">
        <v>6050</v>
      </c>
      <c r="N61" s="128">
        <f t="shared" si="12"/>
        <v>35697.42</v>
      </c>
      <c r="O61" s="359">
        <v>44643</v>
      </c>
      <c r="P61" s="322"/>
      <c r="Q61" s="241"/>
      <c r="R61" s="241"/>
      <c r="S61" s="241"/>
    </row>
    <row r="62" spans="1:19" s="351" customFormat="1" ht="15.75" customHeight="1" x14ac:dyDescent="0.3">
      <c r="A62" s="356" t="s">
        <v>3816</v>
      </c>
      <c r="B62" s="352" t="s">
        <v>2065</v>
      </c>
      <c r="C62" s="357" t="s">
        <v>331</v>
      </c>
      <c r="D62" s="355"/>
      <c r="E62" s="361" t="s">
        <v>5</v>
      </c>
      <c r="F62" s="358"/>
      <c r="G62" s="436">
        <f t="shared" si="9"/>
        <v>2022</v>
      </c>
      <c r="H62" s="435" t="str">
        <f>+VLOOKUP(I62,U:V,2,0)</f>
        <v>MARZO</v>
      </c>
      <c r="I62" s="435">
        <f t="shared" si="10"/>
        <v>3</v>
      </c>
      <c r="J62" s="435">
        <f t="shared" si="11"/>
        <v>14</v>
      </c>
      <c r="K62" s="353">
        <f>+O62+7</f>
        <v>44650</v>
      </c>
      <c r="L62" s="360">
        <v>5.8109999999999999</v>
      </c>
      <c r="M62" s="354">
        <v>5300</v>
      </c>
      <c r="N62" s="128">
        <f t="shared" si="12"/>
        <v>30798.3</v>
      </c>
      <c r="O62" s="359">
        <v>44643</v>
      </c>
      <c r="P62" s="322"/>
      <c r="Q62" s="241"/>
      <c r="R62" s="241"/>
      <c r="S62" s="241"/>
    </row>
    <row r="63" spans="1:19" s="351" customFormat="1" ht="15.75" customHeight="1" x14ac:dyDescent="0.3">
      <c r="A63" s="356" t="s">
        <v>3817</v>
      </c>
      <c r="B63" s="352" t="s">
        <v>3819</v>
      </c>
      <c r="C63" s="357" t="s">
        <v>331</v>
      </c>
      <c r="D63" s="355"/>
      <c r="E63" s="361" t="s">
        <v>5</v>
      </c>
      <c r="F63" s="358"/>
      <c r="G63" s="436">
        <f t="shared" si="9"/>
        <v>2022</v>
      </c>
      <c r="H63" s="435" t="str">
        <f>+VLOOKUP(I63,U:V,2,0)</f>
        <v>MARZO</v>
      </c>
      <c r="I63" s="435">
        <f t="shared" si="10"/>
        <v>3</v>
      </c>
      <c r="J63" s="435">
        <f t="shared" si="11"/>
        <v>14</v>
      </c>
      <c r="K63" s="353">
        <f>+O63+7</f>
        <v>44650</v>
      </c>
      <c r="L63" s="360">
        <v>1.92</v>
      </c>
      <c r="M63" s="354">
        <v>5600</v>
      </c>
      <c r="N63" s="128">
        <f t="shared" si="12"/>
        <v>10752</v>
      </c>
      <c r="O63" s="359">
        <v>44643</v>
      </c>
      <c r="P63" s="322"/>
      <c r="Q63" s="241"/>
      <c r="R63" s="241"/>
      <c r="S63" s="241"/>
    </row>
    <row r="64" spans="1:19" s="351" customFormat="1" ht="15.75" customHeight="1" x14ac:dyDescent="0.3">
      <c r="A64" s="356" t="s">
        <v>3844</v>
      </c>
      <c r="B64" s="352" t="s">
        <v>3169</v>
      </c>
      <c r="C64" s="357" t="s">
        <v>331</v>
      </c>
      <c r="D64" s="355"/>
      <c r="E64" s="361" t="s">
        <v>5</v>
      </c>
      <c r="F64" s="358"/>
      <c r="G64" s="436">
        <f t="shared" si="9"/>
        <v>2022</v>
      </c>
      <c r="H64" s="435" t="str">
        <f>+VLOOKUP(I64,U:V,2,0)</f>
        <v>FEBRERO</v>
      </c>
      <c r="I64" s="435">
        <f t="shared" si="10"/>
        <v>2</v>
      </c>
      <c r="J64" s="435">
        <f t="shared" si="11"/>
        <v>9</v>
      </c>
      <c r="K64" s="353">
        <v>44617</v>
      </c>
      <c r="L64" s="360">
        <v>66</v>
      </c>
      <c r="M64" s="354">
        <v>825</v>
      </c>
      <c r="N64" s="128">
        <f t="shared" si="12"/>
        <v>54450</v>
      </c>
      <c r="O64" s="359">
        <v>44603</v>
      </c>
      <c r="P64" s="322"/>
      <c r="Q64" s="241">
        <v>44607</v>
      </c>
      <c r="R64" s="241"/>
      <c r="S64" s="241"/>
    </row>
    <row r="65" spans="1:19" s="351" customFormat="1" ht="15.75" customHeight="1" x14ac:dyDescent="0.3">
      <c r="A65" s="356" t="s">
        <v>3846</v>
      </c>
      <c r="B65" s="352" t="s">
        <v>1325</v>
      </c>
      <c r="C65" s="357" t="s">
        <v>3856</v>
      </c>
      <c r="D65" s="355"/>
      <c r="E65" s="361" t="s">
        <v>3858</v>
      </c>
      <c r="F65" s="358"/>
      <c r="G65" s="436">
        <f t="shared" si="9"/>
        <v>2022</v>
      </c>
      <c r="H65" s="435" t="str">
        <f>+VLOOKUP(I65,U:V,2,0)</f>
        <v>MAYO</v>
      </c>
      <c r="I65" s="435">
        <f t="shared" si="10"/>
        <v>5</v>
      </c>
      <c r="J65" s="435">
        <f t="shared" si="11"/>
        <v>23</v>
      </c>
      <c r="K65" s="353">
        <f>+O65+90</f>
        <v>44710</v>
      </c>
      <c r="L65" s="360">
        <v>1200</v>
      </c>
      <c r="M65" s="354">
        <v>1384</v>
      </c>
      <c r="N65" s="128">
        <f t="shared" si="12"/>
        <v>1660800</v>
      </c>
      <c r="O65" s="359">
        <v>44620</v>
      </c>
      <c r="P65" s="322"/>
      <c r="Q65" s="241"/>
      <c r="R65" s="241"/>
      <c r="S65" s="241"/>
    </row>
    <row r="66" spans="1:19" s="351" customFormat="1" ht="15.75" customHeight="1" x14ac:dyDescent="0.3">
      <c r="A66" s="356" t="s">
        <v>3847</v>
      </c>
      <c r="B66" s="352" t="s">
        <v>653</v>
      </c>
      <c r="C66" s="357" t="s">
        <v>3857</v>
      </c>
      <c r="D66" s="355" t="s">
        <v>3995</v>
      </c>
      <c r="E66" s="361" t="s">
        <v>3858</v>
      </c>
      <c r="F66" s="358"/>
      <c r="G66" s="436">
        <f t="shared" si="9"/>
        <v>2022</v>
      </c>
      <c r="H66" s="435" t="str">
        <f>+VLOOKUP(I66,U:V,2,0)</f>
        <v>FEBRERO</v>
      </c>
      <c r="I66" s="435">
        <f t="shared" si="10"/>
        <v>2</v>
      </c>
      <c r="J66" s="435">
        <f t="shared" si="11"/>
        <v>8</v>
      </c>
      <c r="K66" s="353">
        <v>44607</v>
      </c>
      <c r="L66" s="360">
        <v>540</v>
      </c>
      <c r="M66" s="354">
        <v>1495</v>
      </c>
      <c r="N66" s="128">
        <f t="shared" si="12"/>
        <v>807300</v>
      </c>
      <c r="O66" s="359">
        <v>44583</v>
      </c>
      <c r="P66" s="220" t="s">
        <v>4062</v>
      </c>
      <c r="Q66" s="241">
        <v>44575</v>
      </c>
      <c r="R66" s="241"/>
      <c r="S66" s="241"/>
    </row>
    <row r="67" spans="1:19" s="351" customFormat="1" ht="15.75" customHeight="1" x14ac:dyDescent="0.3">
      <c r="A67" s="356" t="s">
        <v>3848</v>
      </c>
      <c r="B67" s="352" t="s">
        <v>653</v>
      </c>
      <c r="C67" s="357" t="s">
        <v>3857</v>
      </c>
      <c r="D67" s="355"/>
      <c r="E67" s="361" t="s">
        <v>3858</v>
      </c>
      <c r="F67" s="358"/>
      <c r="G67" s="436">
        <f t="shared" si="9"/>
        <v>2022</v>
      </c>
      <c r="H67" s="435" t="str">
        <f>+VLOOKUP(I67,U:V,2,0)</f>
        <v>MARZO</v>
      </c>
      <c r="I67" s="435">
        <f t="shared" si="10"/>
        <v>3</v>
      </c>
      <c r="J67" s="435">
        <f t="shared" si="11"/>
        <v>10</v>
      </c>
      <c r="K67" s="353">
        <f>+O67+4</f>
        <v>44625</v>
      </c>
      <c r="L67" s="360">
        <v>972</v>
      </c>
      <c r="M67" s="354">
        <v>1495</v>
      </c>
      <c r="N67" s="128">
        <f t="shared" si="12"/>
        <v>1453140</v>
      </c>
      <c r="O67" s="359">
        <v>44621</v>
      </c>
      <c r="P67" s="322"/>
      <c r="Q67" s="241"/>
      <c r="R67" s="241"/>
      <c r="S67" s="241"/>
    </row>
    <row r="68" spans="1:19" s="351" customFormat="1" ht="15.75" customHeight="1" x14ac:dyDescent="0.3">
      <c r="A68" s="356" t="s">
        <v>3849</v>
      </c>
      <c r="B68" s="352" t="s">
        <v>1325</v>
      </c>
      <c r="C68" s="357" t="s">
        <v>928</v>
      </c>
      <c r="D68" s="355"/>
      <c r="E68" s="361">
        <v>90</v>
      </c>
      <c r="F68" s="358" t="s">
        <v>20</v>
      </c>
      <c r="G68" s="436">
        <f t="shared" si="9"/>
        <v>2022</v>
      </c>
      <c r="H68" s="435" t="str">
        <f>+VLOOKUP(I68,U:V,2,0)</f>
        <v>JUNIO</v>
      </c>
      <c r="I68" s="435">
        <f t="shared" si="10"/>
        <v>6</v>
      </c>
      <c r="J68" s="435">
        <f t="shared" si="11"/>
        <v>24</v>
      </c>
      <c r="K68" s="353">
        <f>+O68+E68</f>
        <v>44720</v>
      </c>
      <c r="L68" s="360">
        <v>688</v>
      </c>
      <c r="M68" s="354">
        <v>2178</v>
      </c>
      <c r="N68" s="128">
        <f t="shared" si="12"/>
        <v>1498464</v>
      </c>
      <c r="O68" s="359">
        <v>44630</v>
      </c>
      <c r="P68" s="322"/>
      <c r="Q68" s="241"/>
      <c r="R68" s="241"/>
      <c r="S68" s="241"/>
    </row>
    <row r="69" spans="1:19" s="351" customFormat="1" ht="15.75" customHeight="1" x14ac:dyDescent="0.3">
      <c r="A69" s="356" t="s">
        <v>3850</v>
      </c>
      <c r="B69" s="352" t="s">
        <v>1293</v>
      </c>
      <c r="C69" s="357" t="s">
        <v>280</v>
      </c>
      <c r="D69" s="355" t="s">
        <v>3859</v>
      </c>
      <c r="E69" s="361">
        <v>90</v>
      </c>
      <c r="F69" s="358" t="s">
        <v>20</v>
      </c>
      <c r="G69" s="436">
        <f t="shared" ref="G69:G99" si="14">+YEAR(K69)</f>
        <v>2022</v>
      </c>
      <c r="H69" s="435" t="str">
        <f>+VLOOKUP(I69,U:V,2,0)</f>
        <v>ABRIL</v>
      </c>
      <c r="I69" s="435">
        <f t="shared" ref="I69:I99" si="15">+MONTH(K69)</f>
        <v>4</v>
      </c>
      <c r="J69" s="435">
        <f t="shared" ref="J69:J99" si="16">+WEEKNUM(K69,1)</f>
        <v>15</v>
      </c>
      <c r="K69" s="353">
        <f>+O69+E69</f>
        <v>44658</v>
      </c>
      <c r="L69" s="360">
        <v>400</v>
      </c>
      <c r="M69" s="354">
        <v>448</v>
      </c>
      <c r="N69" s="128">
        <f t="shared" si="12"/>
        <v>179200</v>
      </c>
      <c r="O69" s="359">
        <v>44568</v>
      </c>
      <c r="P69" s="322"/>
      <c r="Q69" s="241"/>
      <c r="R69" s="241"/>
      <c r="S69" s="241"/>
    </row>
    <row r="70" spans="1:19" s="351" customFormat="1" ht="15.75" customHeight="1" x14ac:dyDescent="0.3">
      <c r="A70" s="356" t="s">
        <v>3851</v>
      </c>
      <c r="B70" s="352" t="s">
        <v>1295</v>
      </c>
      <c r="C70" s="357" t="s">
        <v>1651</v>
      </c>
      <c r="D70" s="355"/>
      <c r="E70" s="361">
        <v>90</v>
      </c>
      <c r="F70" s="358" t="s">
        <v>20</v>
      </c>
      <c r="G70" s="436">
        <f t="shared" si="14"/>
        <v>2022</v>
      </c>
      <c r="H70" s="435" t="str">
        <f>+VLOOKUP(I70,U:V,2,0)</f>
        <v>JUNIO</v>
      </c>
      <c r="I70" s="435">
        <f t="shared" si="15"/>
        <v>6</v>
      </c>
      <c r="J70" s="435">
        <f t="shared" si="16"/>
        <v>25</v>
      </c>
      <c r="K70" s="353">
        <f>+O70+E70</f>
        <v>44725</v>
      </c>
      <c r="L70" s="360">
        <v>1500</v>
      </c>
      <c r="M70" s="354">
        <v>1315</v>
      </c>
      <c r="N70" s="128">
        <f t="shared" si="12"/>
        <v>1972500</v>
      </c>
      <c r="O70" s="359">
        <v>44635</v>
      </c>
      <c r="P70" s="322"/>
      <c r="Q70" s="241"/>
      <c r="R70" s="241"/>
      <c r="S70" s="241"/>
    </row>
    <row r="71" spans="1:19" s="351" customFormat="1" ht="15.75" customHeight="1" x14ac:dyDescent="0.3">
      <c r="A71" s="356" t="s">
        <v>3853</v>
      </c>
      <c r="B71" s="352" t="s">
        <v>1601</v>
      </c>
      <c r="C71" s="357" t="s">
        <v>42</v>
      </c>
      <c r="D71" s="355"/>
      <c r="E71" s="361" t="s">
        <v>5</v>
      </c>
      <c r="F71" s="358"/>
      <c r="G71" s="436">
        <f t="shared" si="14"/>
        <v>2022</v>
      </c>
      <c r="H71" s="435" t="str">
        <f>+VLOOKUP(I71,U:V,2,0)</f>
        <v>MARZO</v>
      </c>
      <c r="I71" s="435">
        <f t="shared" si="15"/>
        <v>3</v>
      </c>
      <c r="J71" s="435">
        <f t="shared" si="16"/>
        <v>11</v>
      </c>
      <c r="K71" s="353">
        <f>+O71+7</f>
        <v>44629</v>
      </c>
      <c r="L71" s="360">
        <v>392</v>
      </c>
      <c r="M71" s="354">
        <v>405</v>
      </c>
      <c r="N71" s="128">
        <f t="shared" si="12"/>
        <v>158760</v>
      </c>
      <c r="O71" s="359">
        <v>44622</v>
      </c>
      <c r="P71" s="322"/>
      <c r="Q71" s="241"/>
      <c r="R71" s="241"/>
      <c r="S71" s="241"/>
    </row>
    <row r="72" spans="1:19" s="351" customFormat="1" ht="15.75" customHeight="1" x14ac:dyDescent="0.3">
      <c r="A72" s="356" t="s">
        <v>3854</v>
      </c>
      <c r="B72" s="352" t="s">
        <v>3855</v>
      </c>
      <c r="C72" s="357" t="s">
        <v>1651</v>
      </c>
      <c r="D72" s="355"/>
      <c r="E72" s="361">
        <v>90</v>
      </c>
      <c r="F72" s="358" t="s">
        <v>20</v>
      </c>
      <c r="G72" s="436">
        <f t="shared" si="14"/>
        <v>2022</v>
      </c>
      <c r="H72" s="435" t="str">
        <f>+VLOOKUP(I72,U:V,2,0)</f>
        <v>JUNIO</v>
      </c>
      <c r="I72" s="435">
        <f t="shared" si="15"/>
        <v>6</v>
      </c>
      <c r="J72" s="435">
        <f t="shared" si="16"/>
        <v>25</v>
      </c>
      <c r="K72" s="353">
        <f>+O72+E72</f>
        <v>44725</v>
      </c>
      <c r="L72" s="360">
        <v>3000</v>
      </c>
      <c r="M72" s="354">
        <v>435</v>
      </c>
      <c r="N72" s="128">
        <f t="shared" si="12"/>
        <v>1305000</v>
      </c>
      <c r="O72" s="359">
        <v>44635</v>
      </c>
      <c r="P72" s="322"/>
      <c r="Q72" s="241"/>
      <c r="R72" s="241"/>
      <c r="S72" s="241"/>
    </row>
    <row r="73" spans="1:19" s="351" customFormat="1" ht="15.75" customHeight="1" x14ac:dyDescent="0.3">
      <c r="A73" s="356" t="s">
        <v>3877</v>
      </c>
      <c r="B73" s="352" t="s">
        <v>2470</v>
      </c>
      <c r="C73" s="357" t="s">
        <v>1496</v>
      </c>
      <c r="D73" s="355" t="s">
        <v>3996</v>
      </c>
      <c r="E73" s="361">
        <v>60</v>
      </c>
      <c r="F73" s="358" t="s">
        <v>45</v>
      </c>
      <c r="G73" s="436">
        <f t="shared" si="14"/>
        <v>2022</v>
      </c>
      <c r="H73" s="435" t="str">
        <f>+VLOOKUP(I73,U:V,2,0)</f>
        <v>MARZO</v>
      </c>
      <c r="I73" s="435">
        <f t="shared" si="15"/>
        <v>3</v>
      </c>
      <c r="J73" s="435">
        <f t="shared" si="16"/>
        <v>14</v>
      </c>
      <c r="K73" s="353">
        <v>44647</v>
      </c>
      <c r="L73" s="360">
        <v>100</v>
      </c>
      <c r="M73" s="354">
        <v>1300</v>
      </c>
      <c r="N73" s="128">
        <f t="shared" si="12"/>
        <v>130000</v>
      </c>
      <c r="O73" s="359">
        <v>44593</v>
      </c>
      <c r="P73" s="322"/>
      <c r="Q73" s="241"/>
      <c r="R73" s="241"/>
      <c r="S73" s="241"/>
    </row>
    <row r="74" spans="1:19" s="351" customFormat="1" ht="15.75" customHeight="1" x14ac:dyDescent="0.3">
      <c r="A74" s="356" t="s">
        <v>3878</v>
      </c>
      <c r="B74" s="352" t="s">
        <v>1524</v>
      </c>
      <c r="C74" s="357" t="s">
        <v>331</v>
      </c>
      <c r="D74" s="355" t="s">
        <v>4063</v>
      </c>
      <c r="E74" s="361" t="s">
        <v>5</v>
      </c>
      <c r="F74" s="358"/>
      <c r="G74" s="436">
        <f t="shared" si="14"/>
        <v>2022</v>
      </c>
      <c r="H74" s="435" t="str">
        <f>+VLOOKUP(I74,U:V,2,0)</f>
        <v>FEBRERO</v>
      </c>
      <c r="I74" s="435">
        <f t="shared" si="15"/>
        <v>2</v>
      </c>
      <c r="J74" s="435">
        <f t="shared" si="16"/>
        <v>9</v>
      </c>
      <c r="K74" s="353">
        <f>+O74+10</f>
        <v>44613</v>
      </c>
      <c r="L74" s="360">
        <v>220</v>
      </c>
      <c r="M74" s="354">
        <v>923.96</v>
      </c>
      <c r="N74" s="128">
        <f t="shared" si="12"/>
        <v>203271.2</v>
      </c>
      <c r="O74" s="359">
        <v>44603</v>
      </c>
      <c r="P74" s="322"/>
      <c r="Q74" s="241">
        <v>44607</v>
      </c>
      <c r="R74" s="241"/>
      <c r="S74" s="241"/>
    </row>
    <row r="75" spans="1:19" s="351" customFormat="1" ht="15.75" customHeight="1" x14ac:dyDescent="0.3">
      <c r="A75" s="356" t="s">
        <v>3881</v>
      </c>
      <c r="B75" s="352" t="s">
        <v>1292</v>
      </c>
      <c r="C75" s="357" t="s">
        <v>494</v>
      </c>
      <c r="D75" s="355" t="s">
        <v>552</v>
      </c>
      <c r="E75" s="361">
        <v>180</v>
      </c>
      <c r="F75" s="358" t="s">
        <v>20</v>
      </c>
      <c r="G75" s="436">
        <f t="shared" si="14"/>
        <v>2022</v>
      </c>
      <c r="H75" s="435" t="str">
        <f>+VLOOKUP(I75,U:V,2,0)</f>
        <v>JULIO</v>
      </c>
      <c r="I75" s="435">
        <f t="shared" si="15"/>
        <v>7</v>
      </c>
      <c r="J75" s="435">
        <f t="shared" si="16"/>
        <v>28</v>
      </c>
      <c r="K75" s="353">
        <f>+O75+E75</f>
        <v>44751</v>
      </c>
      <c r="L75" s="360">
        <v>1300</v>
      </c>
      <c r="M75" s="354">
        <v>313.91000000000003</v>
      </c>
      <c r="N75" s="128">
        <f t="shared" ref="N75:N102" si="17">+M75*L75</f>
        <v>408083.00000000006</v>
      </c>
      <c r="O75" s="359">
        <v>44571</v>
      </c>
      <c r="P75" s="322" t="s">
        <v>3929</v>
      </c>
      <c r="Q75" s="241">
        <v>44579</v>
      </c>
      <c r="R75" s="241"/>
      <c r="S75" s="241"/>
    </row>
    <row r="76" spans="1:19" s="351" customFormat="1" ht="15.75" customHeight="1" x14ac:dyDescent="0.3">
      <c r="A76" s="356" t="s">
        <v>3882</v>
      </c>
      <c r="B76" s="352" t="s">
        <v>1292</v>
      </c>
      <c r="C76" s="357" t="s">
        <v>494</v>
      </c>
      <c r="D76" s="355" t="s">
        <v>552</v>
      </c>
      <c r="E76" s="361">
        <v>180</v>
      </c>
      <c r="F76" s="358" t="s">
        <v>20</v>
      </c>
      <c r="G76" s="436">
        <f t="shared" si="14"/>
        <v>2022</v>
      </c>
      <c r="H76" s="435" t="str">
        <f>+VLOOKUP(I76,U:V,2,0)</f>
        <v>JULIO</v>
      </c>
      <c r="I76" s="435">
        <f t="shared" si="15"/>
        <v>7</v>
      </c>
      <c r="J76" s="435">
        <f t="shared" si="16"/>
        <v>28</v>
      </c>
      <c r="K76" s="353">
        <f>+O76+E76</f>
        <v>44751</v>
      </c>
      <c r="L76" s="360">
        <v>1700</v>
      </c>
      <c r="M76" s="354">
        <v>313.91000000000003</v>
      </c>
      <c r="N76" s="128">
        <f t="shared" si="17"/>
        <v>533647</v>
      </c>
      <c r="O76" s="359">
        <v>44571</v>
      </c>
      <c r="P76" s="322" t="s">
        <v>3929</v>
      </c>
      <c r="Q76" s="241">
        <v>44579</v>
      </c>
      <c r="R76" s="241"/>
      <c r="S76" s="241"/>
    </row>
    <row r="77" spans="1:19" s="351" customFormat="1" ht="15.75" customHeight="1" x14ac:dyDescent="0.3">
      <c r="A77" s="356" t="s">
        <v>3883</v>
      </c>
      <c r="B77" s="352" t="s">
        <v>1999</v>
      </c>
      <c r="C77" s="357" t="s">
        <v>494</v>
      </c>
      <c r="D77" s="355" t="s">
        <v>552</v>
      </c>
      <c r="E77" s="361">
        <v>180</v>
      </c>
      <c r="F77" s="358" t="s">
        <v>20</v>
      </c>
      <c r="G77" s="436">
        <f t="shared" si="14"/>
        <v>2022</v>
      </c>
      <c r="H77" s="435" t="str">
        <f>+VLOOKUP(I77,U:V,2,0)</f>
        <v>JULIO</v>
      </c>
      <c r="I77" s="435">
        <f t="shared" si="15"/>
        <v>7</v>
      </c>
      <c r="J77" s="435">
        <f t="shared" si="16"/>
        <v>28</v>
      </c>
      <c r="K77" s="353">
        <f>+O77+E77</f>
        <v>44751</v>
      </c>
      <c r="L77" s="360">
        <v>100</v>
      </c>
      <c r="M77" s="354">
        <v>313.91000000000003</v>
      </c>
      <c r="N77" s="128">
        <f t="shared" si="17"/>
        <v>31391.000000000004</v>
      </c>
      <c r="O77" s="359">
        <v>44571</v>
      </c>
      <c r="P77" s="322" t="s">
        <v>3929</v>
      </c>
      <c r="Q77" s="241">
        <v>44579</v>
      </c>
      <c r="R77" s="241"/>
      <c r="S77" s="241"/>
    </row>
    <row r="78" spans="1:19" s="351" customFormat="1" ht="15.75" customHeight="1" x14ac:dyDescent="0.3">
      <c r="A78" s="356" t="s">
        <v>3884</v>
      </c>
      <c r="B78" s="352" t="s">
        <v>1999</v>
      </c>
      <c r="C78" s="357" t="s">
        <v>494</v>
      </c>
      <c r="D78" s="355" t="s">
        <v>552</v>
      </c>
      <c r="E78" s="361">
        <v>180</v>
      </c>
      <c r="F78" s="358" t="s">
        <v>20</v>
      </c>
      <c r="G78" s="436">
        <f t="shared" si="14"/>
        <v>2022</v>
      </c>
      <c r="H78" s="435" t="str">
        <f>+VLOOKUP(I78,U:V,2,0)</f>
        <v>JULIO</v>
      </c>
      <c r="I78" s="435">
        <f t="shared" si="15"/>
        <v>7</v>
      </c>
      <c r="J78" s="435">
        <f t="shared" si="16"/>
        <v>28</v>
      </c>
      <c r="K78" s="353">
        <f>+O78+E78</f>
        <v>44751</v>
      </c>
      <c r="L78" s="360">
        <v>100</v>
      </c>
      <c r="M78" s="354">
        <v>313.91000000000003</v>
      </c>
      <c r="N78" s="128">
        <f t="shared" si="17"/>
        <v>31391.000000000004</v>
      </c>
      <c r="O78" s="359">
        <v>44571</v>
      </c>
      <c r="P78" s="322" t="s">
        <v>3929</v>
      </c>
      <c r="Q78" s="241">
        <v>44579</v>
      </c>
      <c r="R78" s="241"/>
      <c r="S78" s="241"/>
    </row>
    <row r="79" spans="1:19" s="351" customFormat="1" ht="15.75" customHeight="1" x14ac:dyDescent="0.3">
      <c r="A79" s="356" t="s">
        <v>3886</v>
      </c>
      <c r="B79" s="352" t="s">
        <v>1785</v>
      </c>
      <c r="C79" s="357" t="s">
        <v>331</v>
      </c>
      <c r="D79" s="355"/>
      <c r="E79" s="361" t="s">
        <v>5</v>
      </c>
      <c r="F79" s="358"/>
      <c r="G79" s="436">
        <f t="shared" si="14"/>
        <v>2022</v>
      </c>
      <c r="H79" s="435" t="str">
        <f>+VLOOKUP(I79,U:V,2,0)</f>
        <v>MARZO</v>
      </c>
      <c r="I79" s="435">
        <f t="shared" si="15"/>
        <v>3</v>
      </c>
      <c r="J79" s="435">
        <f t="shared" si="16"/>
        <v>11</v>
      </c>
      <c r="K79" s="353">
        <f>+O79+7</f>
        <v>44629</v>
      </c>
      <c r="L79" s="360">
        <v>189</v>
      </c>
      <c r="M79" s="354">
        <v>366.37</v>
      </c>
      <c r="N79" s="128">
        <f t="shared" si="17"/>
        <v>69243.930000000008</v>
      </c>
      <c r="O79" s="359">
        <v>44622</v>
      </c>
      <c r="P79" s="322" t="s">
        <v>2923</v>
      </c>
      <c r="Q79" s="241"/>
      <c r="R79" s="241"/>
      <c r="S79" s="241"/>
    </row>
    <row r="80" spans="1:19" s="351" customFormat="1" ht="15.75" customHeight="1" x14ac:dyDescent="0.3">
      <c r="A80" s="356" t="s">
        <v>3887</v>
      </c>
      <c r="B80" s="352" t="s">
        <v>1785</v>
      </c>
      <c r="C80" s="357" t="s">
        <v>331</v>
      </c>
      <c r="D80" s="355"/>
      <c r="E80" s="361" t="s">
        <v>5</v>
      </c>
      <c r="F80" s="358"/>
      <c r="G80" s="436">
        <f t="shared" si="14"/>
        <v>2022</v>
      </c>
      <c r="H80" s="435" t="str">
        <f>+VLOOKUP(I80,U:V,2,0)</f>
        <v>FEBRERO</v>
      </c>
      <c r="I80" s="435">
        <f t="shared" si="15"/>
        <v>2</v>
      </c>
      <c r="J80" s="435">
        <f t="shared" si="16"/>
        <v>10</v>
      </c>
      <c r="K80" s="353">
        <f>+O80+12</f>
        <v>44620</v>
      </c>
      <c r="L80" s="360">
        <v>27</v>
      </c>
      <c r="M80" s="354">
        <v>366.37</v>
      </c>
      <c r="N80" s="128">
        <f t="shared" si="17"/>
        <v>9891.99</v>
      </c>
      <c r="O80" s="359">
        <v>44608</v>
      </c>
      <c r="P80" s="322" t="s">
        <v>2923</v>
      </c>
      <c r="Q80" s="241"/>
      <c r="R80" s="241"/>
      <c r="S80" s="241"/>
    </row>
    <row r="81" spans="1:19" s="351" customFormat="1" ht="15.75" customHeight="1" x14ac:dyDescent="0.3">
      <c r="A81" s="356" t="s">
        <v>3888</v>
      </c>
      <c r="B81" s="352" t="s">
        <v>1785</v>
      </c>
      <c r="C81" s="357" t="s">
        <v>331</v>
      </c>
      <c r="D81" s="355"/>
      <c r="E81" s="361" t="s">
        <v>5</v>
      </c>
      <c r="F81" s="358"/>
      <c r="G81" s="436">
        <f t="shared" si="14"/>
        <v>2022</v>
      </c>
      <c r="H81" s="435" t="str">
        <f>+VLOOKUP(I81,U:V,2,0)</f>
        <v>MARZO</v>
      </c>
      <c r="I81" s="435">
        <f t="shared" si="15"/>
        <v>3</v>
      </c>
      <c r="J81" s="435">
        <f t="shared" si="16"/>
        <v>14</v>
      </c>
      <c r="K81" s="353">
        <f>+O81+7</f>
        <v>44650</v>
      </c>
      <c r="L81" s="360">
        <v>135</v>
      </c>
      <c r="M81" s="354">
        <v>366.37</v>
      </c>
      <c r="N81" s="128">
        <f t="shared" si="17"/>
        <v>49459.95</v>
      </c>
      <c r="O81" s="359">
        <v>44643</v>
      </c>
      <c r="P81" s="322" t="s">
        <v>2923</v>
      </c>
      <c r="Q81" s="241"/>
      <c r="R81" s="241"/>
      <c r="S81" s="241"/>
    </row>
    <row r="82" spans="1:19" s="351" customFormat="1" ht="15.75" customHeight="1" x14ac:dyDescent="0.3">
      <c r="A82" s="356" t="s">
        <v>3889</v>
      </c>
      <c r="B82" s="352" t="s">
        <v>1785</v>
      </c>
      <c r="C82" s="357" t="s">
        <v>331</v>
      </c>
      <c r="D82" s="355"/>
      <c r="E82" s="361" t="s">
        <v>5</v>
      </c>
      <c r="F82" s="358"/>
      <c r="G82" s="436">
        <f t="shared" si="14"/>
        <v>2022</v>
      </c>
      <c r="H82" s="435" t="str">
        <f>+VLOOKUP(I82,U:V,2,0)</f>
        <v>MARZO</v>
      </c>
      <c r="I82" s="435">
        <f t="shared" si="15"/>
        <v>3</v>
      </c>
      <c r="J82" s="435">
        <f t="shared" si="16"/>
        <v>14</v>
      </c>
      <c r="K82" s="353">
        <f>+O82+7</f>
        <v>44650</v>
      </c>
      <c r="L82" s="360">
        <v>108</v>
      </c>
      <c r="M82" s="354">
        <v>366.37</v>
      </c>
      <c r="N82" s="128">
        <f t="shared" si="17"/>
        <v>39567.96</v>
      </c>
      <c r="O82" s="359">
        <v>44643</v>
      </c>
      <c r="P82" s="322" t="s">
        <v>2923</v>
      </c>
      <c r="Q82" s="241"/>
      <c r="R82" s="241"/>
      <c r="S82" s="241"/>
    </row>
    <row r="83" spans="1:19" s="351" customFormat="1" ht="15.75" customHeight="1" x14ac:dyDescent="0.3">
      <c r="A83" s="356" t="s">
        <v>3890</v>
      </c>
      <c r="B83" s="352" t="s">
        <v>1785</v>
      </c>
      <c r="C83" s="357" t="s">
        <v>331</v>
      </c>
      <c r="D83" s="355"/>
      <c r="E83" s="361" t="s">
        <v>5</v>
      </c>
      <c r="F83" s="358"/>
      <c r="G83" s="436">
        <f t="shared" si="14"/>
        <v>2022</v>
      </c>
      <c r="H83" s="435" t="str">
        <f>+VLOOKUP(I83,U:V,2,0)</f>
        <v>MARZO</v>
      </c>
      <c r="I83" s="435">
        <f t="shared" si="15"/>
        <v>3</v>
      </c>
      <c r="J83" s="435">
        <f t="shared" si="16"/>
        <v>11</v>
      </c>
      <c r="K83" s="353">
        <f>+O83+7</f>
        <v>44628</v>
      </c>
      <c r="L83" s="360">
        <v>378</v>
      </c>
      <c r="M83" s="354">
        <v>366.37</v>
      </c>
      <c r="N83" s="128">
        <f t="shared" si="17"/>
        <v>138487.86000000002</v>
      </c>
      <c r="O83" s="359">
        <v>44621</v>
      </c>
      <c r="P83" s="322" t="s">
        <v>2923</v>
      </c>
      <c r="Q83" s="241"/>
      <c r="R83" s="241"/>
      <c r="S83" s="241"/>
    </row>
    <row r="84" spans="1:19" s="351" customFormat="1" ht="15.75" customHeight="1" x14ac:dyDescent="0.3">
      <c r="A84" s="356" t="s">
        <v>3891</v>
      </c>
      <c r="B84" s="352" t="s">
        <v>1785</v>
      </c>
      <c r="C84" s="357" t="s">
        <v>331</v>
      </c>
      <c r="D84" s="355"/>
      <c r="E84" s="361" t="s">
        <v>5</v>
      </c>
      <c r="F84" s="358"/>
      <c r="G84" s="436">
        <f t="shared" si="14"/>
        <v>2022</v>
      </c>
      <c r="H84" s="435" t="str">
        <f>+VLOOKUP(I84,U:V,2,0)</f>
        <v>MARZO</v>
      </c>
      <c r="I84" s="435">
        <f t="shared" si="15"/>
        <v>3</v>
      </c>
      <c r="J84" s="435">
        <f t="shared" si="16"/>
        <v>11</v>
      </c>
      <c r="K84" s="353">
        <f>+O84+7</f>
        <v>44628</v>
      </c>
      <c r="L84" s="360">
        <v>108</v>
      </c>
      <c r="M84" s="354">
        <v>366.37</v>
      </c>
      <c r="N84" s="128">
        <f t="shared" si="17"/>
        <v>39567.96</v>
      </c>
      <c r="O84" s="359">
        <v>44621</v>
      </c>
      <c r="P84" s="322" t="s">
        <v>2923</v>
      </c>
      <c r="Q84" s="241"/>
      <c r="R84" s="241"/>
      <c r="S84" s="241"/>
    </row>
    <row r="85" spans="1:19" s="351" customFormat="1" ht="15.75" customHeight="1" x14ac:dyDescent="0.3">
      <c r="A85" s="356" t="s">
        <v>3912</v>
      </c>
      <c r="B85" s="352" t="s">
        <v>1649</v>
      </c>
      <c r="C85" s="357" t="s">
        <v>331</v>
      </c>
      <c r="D85" s="355" t="s">
        <v>3997</v>
      </c>
      <c r="E85" s="361">
        <v>30</v>
      </c>
      <c r="F85" s="358" t="s">
        <v>45</v>
      </c>
      <c r="G85" s="436">
        <f t="shared" si="14"/>
        <v>2022</v>
      </c>
      <c r="H85" s="435" t="str">
        <f>+VLOOKUP(I85,U:V,2,0)</f>
        <v>MARZO</v>
      </c>
      <c r="I85" s="435">
        <f t="shared" si="15"/>
        <v>3</v>
      </c>
      <c r="J85" s="435">
        <f t="shared" si="16"/>
        <v>14</v>
      </c>
      <c r="K85" s="353">
        <f t="shared" ref="K85:K99" si="18">+O85+E85+30</f>
        <v>44649</v>
      </c>
      <c r="L85" s="360">
        <v>297</v>
      </c>
      <c r="M85" s="354">
        <v>372.44</v>
      </c>
      <c r="N85" s="128">
        <f t="shared" si="17"/>
        <v>110614.68</v>
      </c>
      <c r="O85" s="359">
        <v>44589</v>
      </c>
      <c r="P85" s="322"/>
      <c r="Q85" s="241"/>
      <c r="R85" s="241"/>
      <c r="S85" s="241"/>
    </row>
    <row r="86" spans="1:19" s="351" customFormat="1" ht="15.75" customHeight="1" x14ac:dyDescent="0.3">
      <c r="A86" s="356" t="s">
        <v>3913</v>
      </c>
      <c r="B86" s="352" t="s">
        <v>1649</v>
      </c>
      <c r="C86" s="357" t="s">
        <v>331</v>
      </c>
      <c r="D86" s="355" t="s">
        <v>3998</v>
      </c>
      <c r="E86" s="361">
        <v>30</v>
      </c>
      <c r="F86" s="358" t="s">
        <v>45</v>
      </c>
      <c r="G86" s="436">
        <f t="shared" si="14"/>
        <v>2022</v>
      </c>
      <c r="H86" s="435" t="str">
        <f>+VLOOKUP(I86,U:V,2,0)</f>
        <v>MARZO</v>
      </c>
      <c r="I86" s="435">
        <f t="shared" si="15"/>
        <v>3</v>
      </c>
      <c r="J86" s="435">
        <f t="shared" si="16"/>
        <v>14</v>
      </c>
      <c r="K86" s="353">
        <f t="shared" si="18"/>
        <v>44648</v>
      </c>
      <c r="L86" s="360">
        <v>297</v>
      </c>
      <c r="M86" s="354">
        <v>372.44</v>
      </c>
      <c r="N86" s="128">
        <f t="shared" si="17"/>
        <v>110614.68</v>
      </c>
      <c r="O86" s="359">
        <v>44588</v>
      </c>
      <c r="P86" s="322"/>
      <c r="Q86" s="241"/>
      <c r="R86" s="241"/>
      <c r="S86" s="241"/>
    </row>
    <row r="87" spans="1:19" s="351" customFormat="1" ht="15.75" customHeight="1" x14ac:dyDescent="0.3">
      <c r="A87" s="356" t="s">
        <v>3914</v>
      </c>
      <c r="B87" s="352" t="s">
        <v>1649</v>
      </c>
      <c r="C87" s="357" t="s">
        <v>331</v>
      </c>
      <c r="D87" s="355" t="s">
        <v>3999</v>
      </c>
      <c r="E87" s="361">
        <v>30</v>
      </c>
      <c r="F87" s="358" t="s">
        <v>45</v>
      </c>
      <c r="G87" s="436">
        <f t="shared" si="14"/>
        <v>2022</v>
      </c>
      <c r="H87" s="435" t="str">
        <f>+VLOOKUP(I87,U:V,2,0)</f>
        <v>MARZO</v>
      </c>
      <c r="I87" s="435">
        <f t="shared" si="15"/>
        <v>3</v>
      </c>
      <c r="J87" s="435">
        <f t="shared" si="16"/>
        <v>12</v>
      </c>
      <c r="K87" s="353">
        <f t="shared" si="18"/>
        <v>44633</v>
      </c>
      <c r="L87" s="360">
        <v>216</v>
      </c>
      <c r="M87" s="354">
        <v>372.44</v>
      </c>
      <c r="N87" s="128">
        <f t="shared" si="17"/>
        <v>80447.039999999994</v>
      </c>
      <c r="O87" s="359">
        <v>44573</v>
      </c>
      <c r="P87" s="322"/>
      <c r="Q87" s="241"/>
      <c r="R87" s="241"/>
      <c r="S87" s="241"/>
    </row>
    <row r="88" spans="1:19" s="351" customFormat="1" ht="15.75" customHeight="1" x14ac:dyDescent="0.3">
      <c r="A88" s="356" t="s">
        <v>3915</v>
      </c>
      <c r="B88" s="352" t="s">
        <v>1649</v>
      </c>
      <c r="C88" s="357" t="s">
        <v>331</v>
      </c>
      <c r="D88" s="355" t="s">
        <v>4000</v>
      </c>
      <c r="E88" s="361">
        <v>30</v>
      </c>
      <c r="F88" s="358" t="s">
        <v>45</v>
      </c>
      <c r="G88" s="436">
        <f t="shared" si="14"/>
        <v>2022</v>
      </c>
      <c r="H88" s="435" t="str">
        <f>+VLOOKUP(I88,U:V,2,0)</f>
        <v>MARZO</v>
      </c>
      <c r="I88" s="435">
        <f t="shared" si="15"/>
        <v>3</v>
      </c>
      <c r="J88" s="435">
        <f t="shared" si="16"/>
        <v>13</v>
      </c>
      <c r="K88" s="353">
        <f t="shared" si="18"/>
        <v>44641</v>
      </c>
      <c r="L88" s="360">
        <v>108</v>
      </c>
      <c r="M88" s="354">
        <v>372.44</v>
      </c>
      <c r="N88" s="128">
        <f t="shared" si="17"/>
        <v>40223.519999999997</v>
      </c>
      <c r="O88" s="359">
        <v>44581</v>
      </c>
      <c r="P88" s="322"/>
      <c r="Q88" s="241"/>
      <c r="R88" s="241"/>
      <c r="S88" s="241"/>
    </row>
    <row r="89" spans="1:19" s="351" customFormat="1" ht="15.75" customHeight="1" x14ac:dyDescent="0.3">
      <c r="A89" s="356" t="s">
        <v>3892</v>
      </c>
      <c r="B89" s="352" t="s">
        <v>1649</v>
      </c>
      <c r="C89" s="357" t="s">
        <v>331</v>
      </c>
      <c r="D89" s="355" t="s">
        <v>4001</v>
      </c>
      <c r="E89" s="361">
        <v>30</v>
      </c>
      <c r="F89" s="358" t="s">
        <v>45</v>
      </c>
      <c r="G89" s="436">
        <f t="shared" si="14"/>
        <v>2022</v>
      </c>
      <c r="H89" s="435" t="str">
        <f>+VLOOKUP(I89,U:V,2,0)</f>
        <v>MARZO</v>
      </c>
      <c r="I89" s="435">
        <f t="shared" si="15"/>
        <v>3</v>
      </c>
      <c r="J89" s="435">
        <f t="shared" si="16"/>
        <v>14</v>
      </c>
      <c r="K89" s="353">
        <f t="shared" si="18"/>
        <v>44649</v>
      </c>
      <c r="L89" s="360">
        <v>81</v>
      </c>
      <c r="M89" s="354">
        <v>372.44</v>
      </c>
      <c r="N89" s="128">
        <f t="shared" si="17"/>
        <v>30167.64</v>
      </c>
      <c r="O89" s="359">
        <v>44589</v>
      </c>
      <c r="P89" s="322"/>
      <c r="Q89" s="241"/>
      <c r="R89" s="241"/>
      <c r="S89" s="241"/>
    </row>
    <row r="90" spans="1:19" s="351" customFormat="1" ht="15.75" customHeight="1" x14ac:dyDescent="0.3">
      <c r="A90" s="356" t="s">
        <v>3893</v>
      </c>
      <c r="B90" s="352" t="s">
        <v>1649</v>
      </c>
      <c r="C90" s="357" t="s">
        <v>331</v>
      </c>
      <c r="D90" s="355"/>
      <c r="E90" s="361">
        <v>30</v>
      </c>
      <c r="F90" s="358" t="s">
        <v>45</v>
      </c>
      <c r="G90" s="436">
        <f t="shared" si="14"/>
        <v>2022</v>
      </c>
      <c r="H90" s="435" t="str">
        <f>+VLOOKUP(I90,U:V,2,0)</f>
        <v>ABRIL</v>
      </c>
      <c r="I90" s="435">
        <f t="shared" si="15"/>
        <v>4</v>
      </c>
      <c r="J90" s="435">
        <f t="shared" si="16"/>
        <v>17</v>
      </c>
      <c r="K90" s="353">
        <f t="shared" si="18"/>
        <v>44669</v>
      </c>
      <c r="L90" s="360">
        <v>486</v>
      </c>
      <c r="M90" s="354">
        <v>233.09</v>
      </c>
      <c r="N90" s="128">
        <f t="shared" si="17"/>
        <v>113281.74</v>
      </c>
      <c r="O90" s="359">
        <v>44609</v>
      </c>
      <c r="P90" s="322" t="s">
        <v>2923</v>
      </c>
      <c r="Q90" s="241"/>
      <c r="R90" s="241"/>
      <c r="S90" s="241"/>
    </row>
    <row r="91" spans="1:19" s="351" customFormat="1" ht="15.75" customHeight="1" x14ac:dyDescent="0.3">
      <c r="A91" s="356" t="s">
        <v>3916</v>
      </c>
      <c r="B91" s="352" t="s">
        <v>1649</v>
      </c>
      <c r="C91" s="357" t="s">
        <v>331</v>
      </c>
      <c r="D91" s="355"/>
      <c r="E91" s="361">
        <v>30</v>
      </c>
      <c r="F91" s="358" t="s">
        <v>45</v>
      </c>
      <c r="G91" s="436">
        <f t="shared" si="14"/>
        <v>2022</v>
      </c>
      <c r="H91" s="435" t="str">
        <f>+VLOOKUP(I91,U:V,2,0)</f>
        <v>MAYO</v>
      </c>
      <c r="I91" s="435">
        <f t="shared" si="15"/>
        <v>5</v>
      </c>
      <c r="J91" s="435">
        <f t="shared" si="16"/>
        <v>20</v>
      </c>
      <c r="K91" s="353">
        <f t="shared" si="18"/>
        <v>44689</v>
      </c>
      <c r="L91" s="360">
        <v>216</v>
      </c>
      <c r="M91" s="354">
        <v>233.09</v>
      </c>
      <c r="N91" s="128">
        <f t="shared" si="17"/>
        <v>50347.44</v>
      </c>
      <c r="O91" s="359">
        <v>44629</v>
      </c>
      <c r="P91" s="322" t="s">
        <v>2923</v>
      </c>
      <c r="Q91" s="241"/>
      <c r="R91" s="241"/>
      <c r="S91" s="241"/>
    </row>
    <row r="92" spans="1:19" s="351" customFormat="1" ht="15.75" customHeight="1" x14ac:dyDescent="0.3">
      <c r="A92" s="356" t="s">
        <v>3917</v>
      </c>
      <c r="B92" s="352" t="s">
        <v>1649</v>
      </c>
      <c r="C92" s="357" t="s">
        <v>331</v>
      </c>
      <c r="D92" s="355"/>
      <c r="E92" s="361">
        <v>30</v>
      </c>
      <c r="F92" s="358" t="s">
        <v>45</v>
      </c>
      <c r="G92" s="436">
        <f t="shared" si="14"/>
        <v>2022</v>
      </c>
      <c r="H92" s="435" t="str">
        <f>+VLOOKUP(I92,U:V,2,0)</f>
        <v>ABRIL</v>
      </c>
      <c r="I92" s="435">
        <f t="shared" si="15"/>
        <v>4</v>
      </c>
      <c r="J92" s="435">
        <f t="shared" si="16"/>
        <v>17</v>
      </c>
      <c r="K92" s="353">
        <f t="shared" si="18"/>
        <v>44668</v>
      </c>
      <c r="L92" s="360">
        <v>216</v>
      </c>
      <c r="M92" s="354">
        <v>233.09</v>
      </c>
      <c r="N92" s="128">
        <f t="shared" si="17"/>
        <v>50347.44</v>
      </c>
      <c r="O92" s="359">
        <v>44608</v>
      </c>
      <c r="P92" s="322" t="s">
        <v>2923</v>
      </c>
      <c r="Q92" s="241"/>
      <c r="R92" s="241"/>
      <c r="S92" s="241"/>
    </row>
    <row r="93" spans="1:19" s="351" customFormat="1" ht="15.75" customHeight="1" x14ac:dyDescent="0.3">
      <c r="A93" s="356" t="s">
        <v>3894</v>
      </c>
      <c r="B93" s="352" t="s">
        <v>1649</v>
      </c>
      <c r="C93" s="357" t="s">
        <v>331</v>
      </c>
      <c r="D93" s="355"/>
      <c r="E93" s="361">
        <v>30</v>
      </c>
      <c r="F93" s="358" t="s">
        <v>45</v>
      </c>
      <c r="G93" s="436">
        <f t="shared" si="14"/>
        <v>2022</v>
      </c>
      <c r="H93" s="435" t="str">
        <f>+VLOOKUP(I93,U:V,2,0)</f>
        <v>ABRIL</v>
      </c>
      <c r="I93" s="435">
        <f t="shared" si="15"/>
        <v>4</v>
      </c>
      <c r="J93" s="435">
        <f t="shared" si="16"/>
        <v>18</v>
      </c>
      <c r="K93" s="353">
        <f t="shared" si="18"/>
        <v>44680</v>
      </c>
      <c r="L93" s="360">
        <v>81</v>
      </c>
      <c r="M93" s="354">
        <v>233.09</v>
      </c>
      <c r="N93" s="128">
        <f t="shared" si="17"/>
        <v>18880.29</v>
      </c>
      <c r="O93" s="359">
        <v>44620</v>
      </c>
      <c r="P93" s="322" t="s">
        <v>2923</v>
      </c>
      <c r="Q93" s="241"/>
      <c r="R93" s="241"/>
      <c r="S93" s="241"/>
    </row>
    <row r="94" spans="1:19" s="351" customFormat="1" ht="15.75" customHeight="1" x14ac:dyDescent="0.3">
      <c r="A94" s="356" t="s">
        <v>3918</v>
      </c>
      <c r="B94" s="352" t="s">
        <v>1649</v>
      </c>
      <c r="C94" s="357" t="s">
        <v>331</v>
      </c>
      <c r="D94" s="355"/>
      <c r="E94" s="361">
        <v>30</v>
      </c>
      <c r="F94" s="358" t="s">
        <v>45</v>
      </c>
      <c r="G94" s="436">
        <f t="shared" si="14"/>
        <v>2022</v>
      </c>
      <c r="H94" s="435" t="str">
        <f>+VLOOKUP(I94,U:V,2,0)</f>
        <v>ABRIL</v>
      </c>
      <c r="I94" s="435">
        <f t="shared" si="15"/>
        <v>4</v>
      </c>
      <c r="J94" s="435">
        <f t="shared" si="16"/>
        <v>18</v>
      </c>
      <c r="K94" s="353">
        <f t="shared" si="18"/>
        <v>44677</v>
      </c>
      <c r="L94" s="360">
        <v>324</v>
      </c>
      <c r="M94" s="354">
        <v>233.09</v>
      </c>
      <c r="N94" s="128">
        <f t="shared" si="17"/>
        <v>75521.16</v>
      </c>
      <c r="O94" s="359">
        <v>44617</v>
      </c>
      <c r="P94" s="322" t="s">
        <v>2923</v>
      </c>
      <c r="Q94" s="241"/>
      <c r="R94" s="241"/>
      <c r="S94" s="241"/>
    </row>
    <row r="95" spans="1:19" s="351" customFormat="1" ht="15.75" customHeight="1" x14ac:dyDescent="0.3">
      <c r="A95" s="356" t="s">
        <v>3919</v>
      </c>
      <c r="B95" s="352" t="s">
        <v>1649</v>
      </c>
      <c r="C95" s="357" t="s">
        <v>331</v>
      </c>
      <c r="D95" s="355"/>
      <c r="E95" s="361">
        <v>30</v>
      </c>
      <c r="F95" s="358" t="s">
        <v>45</v>
      </c>
      <c r="G95" s="436">
        <f t="shared" si="14"/>
        <v>2022</v>
      </c>
      <c r="H95" s="435" t="str">
        <f>+VLOOKUP(I95,U:V,2,0)</f>
        <v>ABRIL</v>
      </c>
      <c r="I95" s="435">
        <f t="shared" si="15"/>
        <v>4</v>
      </c>
      <c r="J95" s="435">
        <f t="shared" si="16"/>
        <v>18</v>
      </c>
      <c r="K95" s="353">
        <f t="shared" si="18"/>
        <v>44677</v>
      </c>
      <c r="L95" s="360">
        <v>324</v>
      </c>
      <c r="M95" s="354">
        <v>233.09</v>
      </c>
      <c r="N95" s="128">
        <f t="shared" si="17"/>
        <v>75521.16</v>
      </c>
      <c r="O95" s="359">
        <v>44617</v>
      </c>
      <c r="P95" s="322" t="s">
        <v>2923</v>
      </c>
      <c r="Q95" s="241"/>
      <c r="R95" s="241"/>
      <c r="S95" s="241"/>
    </row>
    <row r="96" spans="1:19" s="351" customFormat="1" ht="15.75" customHeight="1" x14ac:dyDescent="0.3">
      <c r="A96" s="356" t="s">
        <v>3920</v>
      </c>
      <c r="B96" s="352" t="s">
        <v>1649</v>
      </c>
      <c r="C96" s="357" t="s">
        <v>331</v>
      </c>
      <c r="D96" s="355"/>
      <c r="E96" s="361">
        <v>30</v>
      </c>
      <c r="F96" s="358" t="s">
        <v>45</v>
      </c>
      <c r="G96" s="436">
        <f t="shared" si="14"/>
        <v>2022</v>
      </c>
      <c r="H96" s="435" t="str">
        <f>+VLOOKUP(I96,U:V,2,0)</f>
        <v>ABRIL</v>
      </c>
      <c r="I96" s="435">
        <f t="shared" si="15"/>
        <v>4</v>
      </c>
      <c r="J96" s="435">
        <f t="shared" si="16"/>
        <v>18</v>
      </c>
      <c r="K96" s="353">
        <f t="shared" si="18"/>
        <v>44677</v>
      </c>
      <c r="L96" s="360">
        <v>324</v>
      </c>
      <c r="M96" s="354">
        <v>233.09</v>
      </c>
      <c r="N96" s="128">
        <f t="shared" si="17"/>
        <v>75521.16</v>
      </c>
      <c r="O96" s="359">
        <v>44617</v>
      </c>
      <c r="P96" s="322" t="s">
        <v>2923</v>
      </c>
      <c r="Q96" s="241"/>
      <c r="R96" s="241"/>
      <c r="S96" s="241"/>
    </row>
    <row r="97" spans="1:19" s="351" customFormat="1" ht="15.75" customHeight="1" x14ac:dyDescent="0.3">
      <c r="A97" s="356" t="s">
        <v>3921</v>
      </c>
      <c r="B97" s="352" t="s">
        <v>1649</v>
      </c>
      <c r="C97" s="357" t="s">
        <v>331</v>
      </c>
      <c r="D97" s="355"/>
      <c r="E97" s="361">
        <v>30</v>
      </c>
      <c r="F97" s="358" t="s">
        <v>45</v>
      </c>
      <c r="G97" s="436">
        <f t="shared" si="14"/>
        <v>2022</v>
      </c>
      <c r="H97" s="435" t="str">
        <f>+VLOOKUP(I97,U:V,2,0)</f>
        <v>MAYO</v>
      </c>
      <c r="I97" s="435">
        <f t="shared" si="15"/>
        <v>5</v>
      </c>
      <c r="J97" s="435">
        <f t="shared" si="16"/>
        <v>19</v>
      </c>
      <c r="K97" s="353">
        <f t="shared" si="18"/>
        <v>44682</v>
      </c>
      <c r="L97" s="360">
        <v>216</v>
      </c>
      <c r="M97" s="354">
        <v>233.09</v>
      </c>
      <c r="N97" s="128">
        <f t="shared" si="17"/>
        <v>50347.44</v>
      </c>
      <c r="O97" s="359">
        <v>44622</v>
      </c>
      <c r="P97" s="322" t="s">
        <v>2923</v>
      </c>
      <c r="Q97" s="241"/>
      <c r="R97" s="241"/>
      <c r="S97" s="241"/>
    </row>
    <row r="98" spans="1:19" s="351" customFormat="1" ht="15.75" customHeight="1" x14ac:dyDescent="0.3">
      <c r="A98" s="356" t="s">
        <v>3922</v>
      </c>
      <c r="B98" s="352" t="s">
        <v>1649</v>
      </c>
      <c r="C98" s="357" t="s">
        <v>331</v>
      </c>
      <c r="D98" s="355"/>
      <c r="E98" s="361">
        <v>30</v>
      </c>
      <c r="F98" s="358" t="s">
        <v>45</v>
      </c>
      <c r="G98" s="436">
        <f t="shared" si="14"/>
        <v>2022</v>
      </c>
      <c r="H98" s="435" t="str">
        <f>+VLOOKUP(I98,U:V,2,0)</f>
        <v>ABRIL</v>
      </c>
      <c r="I98" s="435">
        <f t="shared" si="15"/>
        <v>4</v>
      </c>
      <c r="J98" s="435">
        <f t="shared" si="16"/>
        <v>18</v>
      </c>
      <c r="K98" s="353">
        <f t="shared" si="18"/>
        <v>44675</v>
      </c>
      <c r="L98" s="360">
        <v>108</v>
      </c>
      <c r="M98" s="354">
        <v>233.09</v>
      </c>
      <c r="N98" s="128">
        <f t="shared" si="17"/>
        <v>25173.72</v>
      </c>
      <c r="O98" s="359">
        <v>44615</v>
      </c>
      <c r="P98" s="322" t="s">
        <v>2923</v>
      </c>
      <c r="Q98" s="241"/>
      <c r="R98" s="241"/>
      <c r="S98" s="241"/>
    </row>
    <row r="99" spans="1:19" s="351" customFormat="1" ht="15.75" customHeight="1" x14ac:dyDescent="0.3">
      <c r="A99" s="356" t="s">
        <v>3982</v>
      </c>
      <c r="B99" s="352" t="s">
        <v>1649</v>
      </c>
      <c r="C99" s="357" t="s">
        <v>331</v>
      </c>
      <c r="D99" s="355"/>
      <c r="E99" s="361">
        <v>30</v>
      </c>
      <c r="F99" s="358" t="s">
        <v>45</v>
      </c>
      <c r="G99" s="436">
        <f t="shared" si="14"/>
        <v>2022</v>
      </c>
      <c r="H99" s="435" t="str">
        <f>+VLOOKUP(I99,U:V,2,0)</f>
        <v>MAYO</v>
      </c>
      <c r="I99" s="435">
        <f t="shared" si="15"/>
        <v>5</v>
      </c>
      <c r="J99" s="435">
        <f t="shared" si="16"/>
        <v>19</v>
      </c>
      <c r="K99" s="353">
        <f t="shared" si="18"/>
        <v>44687</v>
      </c>
      <c r="L99" s="360">
        <v>27</v>
      </c>
      <c r="M99" s="354">
        <v>233.09</v>
      </c>
      <c r="N99" s="128">
        <f t="shared" si="17"/>
        <v>6293.43</v>
      </c>
      <c r="O99" s="359">
        <v>44627</v>
      </c>
      <c r="P99" s="322" t="s">
        <v>2923</v>
      </c>
      <c r="Q99" s="241"/>
      <c r="R99" s="241"/>
      <c r="S99" s="241"/>
    </row>
    <row r="100" spans="1:19" s="351" customFormat="1" ht="15.75" customHeight="1" x14ac:dyDescent="0.3">
      <c r="A100" s="356" t="s">
        <v>3926</v>
      </c>
      <c r="B100" s="352" t="s">
        <v>3927</v>
      </c>
      <c r="C100" s="357" t="s">
        <v>1497</v>
      </c>
      <c r="D100" s="355"/>
      <c r="E100" s="361" t="s">
        <v>5</v>
      </c>
      <c r="F100" s="358"/>
      <c r="G100" s="436">
        <f t="shared" ref="G100:G104" si="19">+YEAR(K100)</f>
        <v>2022</v>
      </c>
      <c r="H100" s="435" t="str">
        <f>+VLOOKUP(I100,U:V,2,0)</f>
        <v>FEBRERO</v>
      </c>
      <c r="I100" s="435">
        <f t="shared" ref="I100:I104" si="20">+MONTH(K100)</f>
        <v>2</v>
      </c>
      <c r="J100" s="435">
        <f t="shared" ref="J100:J104" si="21">+WEEKNUM(K100,1)</f>
        <v>9</v>
      </c>
      <c r="K100" s="353">
        <f>+O100+7</f>
        <v>44616</v>
      </c>
      <c r="L100" s="360">
        <v>100</v>
      </c>
      <c r="M100" s="354">
        <v>519</v>
      </c>
      <c r="N100" s="128">
        <f t="shared" si="17"/>
        <v>51900</v>
      </c>
      <c r="O100" s="359">
        <v>44609</v>
      </c>
      <c r="P100" s="322"/>
      <c r="Q100" s="241"/>
      <c r="R100" s="241"/>
      <c r="S100" s="241"/>
    </row>
    <row r="101" spans="1:19" s="351" customFormat="1" ht="15.75" customHeight="1" x14ac:dyDescent="0.3">
      <c r="A101" s="356" t="s">
        <v>3928</v>
      </c>
      <c r="B101" s="352" t="s">
        <v>653</v>
      </c>
      <c r="C101" s="357" t="s">
        <v>1497</v>
      </c>
      <c r="D101" s="355"/>
      <c r="E101" s="361">
        <v>90</v>
      </c>
      <c r="F101" s="358" t="s">
        <v>20</v>
      </c>
      <c r="G101" s="436">
        <f t="shared" si="19"/>
        <v>2022</v>
      </c>
      <c r="H101" s="435" t="str">
        <f>+VLOOKUP(I101,U:V,2,0)</f>
        <v>JUNIO</v>
      </c>
      <c r="I101" s="435">
        <f t="shared" si="20"/>
        <v>6</v>
      </c>
      <c r="J101" s="435">
        <f t="shared" si="21"/>
        <v>27</v>
      </c>
      <c r="K101" s="353">
        <f>+O101+E101+30</f>
        <v>44740</v>
      </c>
      <c r="L101" s="360">
        <v>1500</v>
      </c>
      <c r="M101" s="354">
        <v>1531</v>
      </c>
      <c r="N101" s="128">
        <f t="shared" si="17"/>
        <v>2296500</v>
      </c>
      <c r="O101" s="359">
        <v>44620</v>
      </c>
      <c r="P101" s="322"/>
      <c r="Q101" s="241"/>
      <c r="R101" s="241"/>
      <c r="S101" s="241"/>
    </row>
    <row r="102" spans="1:19" s="351" customFormat="1" ht="15.75" customHeight="1" x14ac:dyDescent="0.3">
      <c r="A102" s="356" t="s">
        <v>3983</v>
      </c>
      <c r="B102" s="352" t="s">
        <v>1274</v>
      </c>
      <c r="C102" s="357" t="s">
        <v>3751</v>
      </c>
      <c r="D102" s="355"/>
      <c r="E102" s="361" t="s">
        <v>5</v>
      </c>
      <c r="F102" s="358"/>
      <c r="G102" s="436">
        <f t="shared" si="19"/>
        <v>2022</v>
      </c>
      <c r="H102" s="435" t="str">
        <f>+VLOOKUP(I102,U:V,2,0)</f>
        <v>MARZO</v>
      </c>
      <c r="I102" s="435">
        <f t="shared" si="20"/>
        <v>3</v>
      </c>
      <c r="J102" s="435">
        <f t="shared" si="21"/>
        <v>10</v>
      </c>
      <c r="K102" s="353">
        <f>+O102+7</f>
        <v>44622</v>
      </c>
      <c r="L102" s="360">
        <v>500</v>
      </c>
      <c r="M102" s="354">
        <v>900</v>
      </c>
      <c r="N102" s="128">
        <f t="shared" si="17"/>
        <v>450000</v>
      </c>
      <c r="O102" s="359">
        <v>44615</v>
      </c>
      <c r="P102" s="322"/>
      <c r="Q102" s="241"/>
      <c r="R102" s="241"/>
      <c r="S102" s="241"/>
    </row>
    <row r="103" spans="1:19" s="351" customFormat="1" ht="15.75" customHeight="1" x14ac:dyDescent="0.3">
      <c r="A103" s="356" t="s">
        <v>4015</v>
      </c>
      <c r="B103" s="352" t="s">
        <v>1599</v>
      </c>
      <c r="C103" s="357" t="s">
        <v>512</v>
      </c>
      <c r="D103" s="355" t="s">
        <v>4073</v>
      </c>
      <c r="E103" s="530" t="s">
        <v>158</v>
      </c>
      <c r="F103" s="358"/>
      <c r="G103" s="436">
        <f t="shared" si="19"/>
        <v>2022</v>
      </c>
      <c r="H103" s="435" t="str">
        <f>+VLOOKUP(I103,U:V,2,0)</f>
        <v>FEBRERO</v>
      </c>
      <c r="I103" s="435">
        <f t="shared" si="20"/>
        <v>2</v>
      </c>
      <c r="J103" s="435">
        <f t="shared" si="21"/>
        <v>8</v>
      </c>
      <c r="K103" s="353">
        <f>+O103-7</f>
        <v>44610</v>
      </c>
      <c r="L103" s="360">
        <v>1800</v>
      </c>
      <c r="M103" s="354">
        <v>760</v>
      </c>
      <c r="N103" s="128">
        <f>+M103*L103</f>
        <v>1368000</v>
      </c>
      <c r="O103" s="359">
        <v>44617</v>
      </c>
      <c r="P103" s="220" t="s">
        <v>531</v>
      </c>
      <c r="Q103" s="241">
        <v>44608</v>
      </c>
      <c r="R103" s="241"/>
      <c r="S103" s="241"/>
    </row>
    <row r="104" spans="1:19" s="351" customFormat="1" ht="15.75" customHeight="1" x14ac:dyDescent="0.3">
      <c r="A104" s="356" t="s">
        <v>4016</v>
      </c>
      <c r="B104" s="352" t="s">
        <v>1388</v>
      </c>
      <c r="C104" s="357" t="s">
        <v>512</v>
      </c>
      <c r="D104" s="355"/>
      <c r="E104" s="361">
        <v>20</v>
      </c>
      <c r="F104" s="358" t="s">
        <v>20</v>
      </c>
      <c r="G104" s="436">
        <f t="shared" si="19"/>
        <v>2022</v>
      </c>
      <c r="H104" s="435" t="str">
        <f>+VLOOKUP(I104,U:V,2,0)</f>
        <v>MARZO</v>
      </c>
      <c r="I104" s="435">
        <f t="shared" si="20"/>
        <v>3</v>
      </c>
      <c r="J104" s="435">
        <f t="shared" si="21"/>
        <v>12</v>
      </c>
      <c r="K104" s="353">
        <f>+O104+E104</f>
        <v>44637</v>
      </c>
      <c r="L104" s="360">
        <v>4040</v>
      </c>
      <c r="M104" s="354">
        <v>775</v>
      </c>
      <c r="N104" s="128">
        <f>+M104*L104</f>
        <v>3131000</v>
      </c>
      <c r="O104" s="359">
        <v>44617</v>
      </c>
      <c r="P104" s="322"/>
      <c r="Q104" s="241"/>
      <c r="R104" s="241"/>
      <c r="S104" s="241"/>
    </row>
    <row r="105" spans="1:19" s="351" customFormat="1" ht="15.75" customHeight="1" x14ac:dyDescent="0.3">
      <c r="A105" s="356" t="s">
        <v>4046</v>
      </c>
      <c r="B105" s="352" t="s">
        <v>1785</v>
      </c>
      <c r="C105" s="357" t="s">
        <v>331</v>
      </c>
      <c r="D105" s="355"/>
      <c r="E105" s="361" t="s">
        <v>5</v>
      </c>
      <c r="F105" s="358"/>
      <c r="G105" s="436">
        <f t="shared" ref="G105:G106" si="22">+YEAR(K105)</f>
        <v>2022</v>
      </c>
      <c r="H105" s="435" t="str">
        <f>+VLOOKUP(I105,U:V,2,0)</f>
        <v>MARZO</v>
      </c>
      <c r="I105" s="435">
        <f t="shared" ref="I105:I106" si="23">+MONTH(K105)</f>
        <v>3</v>
      </c>
      <c r="J105" s="435">
        <f t="shared" ref="J105:J106" si="24">+WEEKNUM(K105,1)</f>
        <v>11</v>
      </c>
      <c r="K105" s="353">
        <f>+O105+7</f>
        <v>44627</v>
      </c>
      <c r="L105" s="360">
        <v>27</v>
      </c>
      <c r="M105" s="354">
        <v>334.22</v>
      </c>
      <c r="N105" s="128">
        <f>+M105*L105</f>
        <v>9023.94</v>
      </c>
      <c r="O105" s="359">
        <v>44620</v>
      </c>
      <c r="P105" s="322" t="s">
        <v>2923</v>
      </c>
      <c r="Q105" s="241"/>
      <c r="R105" s="241"/>
      <c r="S105" s="241"/>
    </row>
    <row r="106" spans="1:19" s="351" customFormat="1" ht="15.75" customHeight="1" x14ac:dyDescent="0.3">
      <c r="A106" s="356" t="s">
        <v>4047</v>
      </c>
      <c r="B106" s="352" t="s">
        <v>1274</v>
      </c>
      <c r="C106" s="357" t="s">
        <v>3751</v>
      </c>
      <c r="D106" s="355"/>
      <c r="E106" s="361" t="s">
        <v>5</v>
      </c>
      <c r="F106" s="358"/>
      <c r="G106" s="436">
        <f t="shared" si="22"/>
        <v>2022</v>
      </c>
      <c r="H106" s="435" t="str">
        <f>+VLOOKUP(I106,U:V,2,0)</f>
        <v>MARZO</v>
      </c>
      <c r="I106" s="435">
        <f t="shared" si="23"/>
        <v>3</v>
      </c>
      <c r="J106" s="435">
        <f t="shared" si="24"/>
        <v>14</v>
      </c>
      <c r="K106" s="353">
        <f>+O106+7</f>
        <v>44649</v>
      </c>
      <c r="L106" s="360">
        <v>748.8</v>
      </c>
      <c r="M106" s="354">
        <v>740</v>
      </c>
      <c r="N106" s="128">
        <f>+M106*L106</f>
        <v>554112</v>
      </c>
      <c r="O106" s="359">
        <v>44642</v>
      </c>
      <c r="P106" s="322"/>
      <c r="Q106" s="241"/>
      <c r="R106" s="241"/>
      <c r="S106" s="241"/>
    </row>
    <row r="107" spans="1:19" s="351" customFormat="1" ht="15.75" customHeight="1" x14ac:dyDescent="0.3">
      <c r="A107" s="356" t="s">
        <v>4067</v>
      </c>
      <c r="B107" s="352" t="s">
        <v>653</v>
      </c>
      <c r="C107" s="357" t="s">
        <v>4071</v>
      </c>
      <c r="D107" s="355"/>
      <c r="E107" s="361">
        <v>30</v>
      </c>
      <c r="F107" s="358" t="s">
        <v>20</v>
      </c>
      <c r="G107" s="436">
        <f t="shared" ref="G107:G110" si="25">+YEAR(K107)</f>
        <v>2022</v>
      </c>
      <c r="H107" s="435" t="str">
        <f>+VLOOKUP(I107,U:V,2,0)</f>
        <v>ABRIL</v>
      </c>
      <c r="I107" s="435">
        <f t="shared" ref="I107:I110" si="26">+MONTH(K107)</f>
        <v>4</v>
      </c>
      <c r="J107" s="435">
        <f t="shared" ref="J107:J110" si="27">+WEEKNUM(K107,1)</f>
        <v>16</v>
      </c>
      <c r="K107" s="353">
        <f>+O107+E107</f>
        <v>44665</v>
      </c>
      <c r="L107" s="360">
        <v>300</v>
      </c>
      <c r="M107" s="354">
        <v>1340</v>
      </c>
      <c r="N107" s="128">
        <f t="shared" ref="N107:N110" si="28">+M107*L107</f>
        <v>402000</v>
      </c>
      <c r="O107" s="359">
        <v>44635</v>
      </c>
      <c r="P107" s="322"/>
      <c r="Q107" s="241"/>
      <c r="R107" s="241"/>
      <c r="S107" s="241"/>
    </row>
    <row r="108" spans="1:19" s="351" customFormat="1" ht="15.75" customHeight="1" x14ac:dyDescent="0.3">
      <c r="A108" s="356" t="s">
        <v>4068</v>
      </c>
      <c r="B108" s="352" t="s">
        <v>1293</v>
      </c>
      <c r="C108" s="357" t="s">
        <v>1036</v>
      </c>
      <c r="D108" s="355"/>
      <c r="E108" s="361" t="s">
        <v>5</v>
      </c>
      <c r="F108" s="358"/>
      <c r="G108" s="436">
        <f t="shared" si="25"/>
        <v>2022</v>
      </c>
      <c r="H108" s="435" t="str">
        <f>+VLOOKUP(I108,U:V,2,0)</f>
        <v>ABRIL</v>
      </c>
      <c r="I108" s="435">
        <f t="shared" si="26"/>
        <v>4</v>
      </c>
      <c r="J108" s="435">
        <f t="shared" si="27"/>
        <v>15</v>
      </c>
      <c r="K108" s="353">
        <f>+O108+10</f>
        <v>44655</v>
      </c>
      <c r="L108" s="360">
        <v>500</v>
      </c>
      <c r="M108" s="354">
        <v>430.5</v>
      </c>
      <c r="N108" s="128">
        <f t="shared" si="28"/>
        <v>215250</v>
      </c>
      <c r="O108" s="359">
        <v>44645</v>
      </c>
      <c r="P108" s="322"/>
      <c r="Q108" s="241"/>
      <c r="R108" s="241"/>
      <c r="S108" s="241"/>
    </row>
    <row r="109" spans="1:19" s="351" customFormat="1" ht="15.75" customHeight="1" x14ac:dyDescent="0.3">
      <c r="A109" s="356" t="s">
        <v>4069</v>
      </c>
      <c r="B109" s="352" t="s">
        <v>1293</v>
      </c>
      <c r="C109" s="357" t="s">
        <v>280</v>
      </c>
      <c r="D109" s="355" t="s">
        <v>4072</v>
      </c>
      <c r="E109" s="361">
        <v>90</v>
      </c>
      <c r="F109" s="358" t="s">
        <v>20</v>
      </c>
      <c r="G109" s="436">
        <f t="shared" si="25"/>
        <v>2022</v>
      </c>
      <c r="H109" s="435" t="str">
        <f>+VLOOKUP(I109,U:V,2,0)</f>
        <v>JULIO</v>
      </c>
      <c r="I109" s="435">
        <f t="shared" si="26"/>
        <v>7</v>
      </c>
      <c r="J109" s="435">
        <f t="shared" si="27"/>
        <v>31</v>
      </c>
      <c r="K109" s="353">
        <f>+O109+E109</f>
        <v>44766</v>
      </c>
      <c r="L109" s="360">
        <v>400</v>
      </c>
      <c r="M109" s="354">
        <v>420</v>
      </c>
      <c r="N109" s="128">
        <f t="shared" si="28"/>
        <v>168000</v>
      </c>
      <c r="O109" s="359">
        <v>44676</v>
      </c>
      <c r="P109" s="322"/>
      <c r="Q109" s="241"/>
      <c r="R109" s="241"/>
      <c r="S109" s="241"/>
    </row>
    <row r="110" spans="1:19" s="351" customFormat="1" ht="15.75" customHeight="1" x14ac:dyDescent="0.3">
      <c r="A110" s="356" t="s">
        <v>4070</v>
      </c>
      <c r="B110" s="352" t="s">
        <v>1326</v>
      </c>
      <c r="C110" s="357" t="s">
        <v>1497</v>
      </c>
      <c r="D110" s="355"/>
      <c r="E110" s="361">
        <v>150</v>
      </c>
      <c r="F110" s="358" t="s">
        <v>20</v>
      </c>
      <c r="G110" s="436">
        <f t="shared" si="25"/>
        <v>2022</v>
      </c>
      <c r="H110" s="435" t="str">
        <f>+VLOOKUP(I110,U:V,2,0)</f>
        <v>JULIO</v>
      </c>
      <c r="I110" s="435">
        <f t="shared" si="26"/>
        <v>7</v>
      </c>
      <c r="J110" s="435">
        <f t="shared" si="27"/>
        <v>31</v>
      </c>
      <c r="K110" s="353">
        <f>+O110+E110</f>
        <v>44770</v>
      </c>
      <c r="L110" s="360">
        <v>1500</v>
      </c>
      <c r="M110" s="354">
        <v>1028.5</v>
      </c>
      <c r="N110" s="128">
        <f t="shared" si="28"/>
        <v>1542750</v>
      </c>
      <c r="O110" s="359">
        <v>44620</v>
      </c>
      <c r="P110" s="322"/>
      <c r="Q110" s="241"/>
      <c r="R110" s="241"/>
      <c r="S110" s="241"/>
    </row>
    <row r="111" spans="1:19" x14ac:dyDescent="0.3">
      <c r="K111" s="475"/>
      <c r="N111" s="475"/>
      <c r="O111" s="475"/>
      <c r="P111" s="525"/>
      <c r="Q111" s="476"/>
      <c r="R111" s="475"/>
    </row>
    <row r="112" spans="1:19" x14ac:dyDescent="0.3">
      <c r="K112" s="475"/>
      <c r="N112" s="475"/>
      <c r="O112" s="475"/>
      <c r="P112" s="525"/>
      <c r="Q112" s="476"/>
      <c r="R112" s="475"/>
    </row>
    <row r="113" spans="14:18" x14ac:dyDescent="0.3">
      <c r="N113" s="475"/>
      <c r="O113" s="475"/>
      <c r="R113" s="475"/>
    </row>
    <row r="114" spans="14:18" x14ac:dyDescent="0.3">
      <c r="N114" s="475"/>
      <c r="O114" s="475"/>
      <c r="R114" s="475"/>
    </row>
    <row r="115" spans="14:18" x14ac:dyDescent="0.3">
      <c r="N115" s="475"/>
      <c r="O115" s="475"/>
    </row>
    <row r="116" spans="14:18" x14ac:dyDescent="0.3">
      <c r="N116" s="524"/>
      <c r="O116" s="475"/>
    </row>
  </sheetData>
  <autoFilter ref="A1:S110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topLeftCell="A13" workbookViewId="0">
      <selection activeCell="A26" sqref="A26:XFD34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1" width="11.44140625" style="10"/>
    <col min="12" max="12" width="4.44140625" style="10" bestFit="1" customWidth="1"/>
    <col min="13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62</v>
      </c>
      <c r="B3" s="1" t="s">
        <v>10</v>
      </c>
      <c r="C3" s="107" t="s">
        <v>7</v>
      </c>
      <c r="D3" s="41" t="s">
        <v>452</v>
      </c>
      <c r="E3" s="5">
        <v>90</v>
      </c>
      <c r="F3" s="6" t="s">
        <v>20</v>
      </c>
      <c r="G3" s="7">
        <f>+K3+E3</f>
        <v>43123</v>
      </c>
      <c r="H3" s="9">
        <v>540</v>
      </c>
      <c r="I3" s="8">
        <v>285</v>
      </c>
      <c r="J3" s="8">
        <f>+I3*H3</f>
        <v>153900</v>
      </c>
      <c r="K3" s="106">
        <v>43033</v>
      </c>
      <c r="L3" s="69" t="s">
        <v>406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92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627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 t="s">
        <v>410</v>
      </c>
      <c r="D7" s="73"/>
      <c r="E7" s="37"/>
      <c r="F7" s="37"/>
      <c r="G7" s="37"/>
      <c r="H7" s="18"/>
      <c r="I7" s="18"/>
      <c r="J7" s="18"/>
      <c r="K7" s="19"/>
      <c r="L7" s="108"/>
    </row>
    <row r="8" spans="1:16" x14ac:dyDescent="0.3">
      <c r="A8" s="49"/>
      <c r="B8" s="17" t="s">
        <v>81</v>
      </c>
      <c r="C8" s="45" t="s">
        <v>424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 t="s">
        <v>412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 t="s">
        <v>104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165</v>
      </c>
      <c r="C11" s="45" t="s">
        <v>107</v>
      </c>
      <c r="D11" s="73"/>
      <c r="E11" s="37"/>
      <c r="F11" s="37"/>
      <c r="G11" s="37"/>
      <c r="H11" s="18"/>
      <c r="I11" s="18"/>
      <c r="J11" s="18"/>
      <c r="K11" s="19"/>
      <c r="L11" s="108"/>
    </row>
    <row r="12" spans="1:16" x14ac:dyDescent="0.3">
      <c r="A12" s="49"/>
      <c r="B12" s="17" t="s">
        <v>85</v>
      </c>
      <c r="C12" s="45" t="s">
        <v>108</v>
      </c>
      <c r="D12" s="73"/>
      <c r="E12" s="37"/>
      <c r="F12" s="37"/>
      <c r="G12" s="37"/>
      <c r="H12" s="18"/>
      <c r="I12" s="18"/>
      <c r="J12" s="18"/>
      <c r="K12" s="19"/>
    </row>
    <row r="13" spans="1:16" ht="15" x14ac:dyDescent="0.25">
      <c r="A13" s="50"/>
      <c r="B13" s="21"/>
      <c r="C13" s="21"/>
      <c r="D13" s="74"/>
      <c r="E13" s="21"/>
      <c r="F13" s="21"/>
      <c r="G13" s="21"/>
      <c r="H13" s="22"/>
      <c r="I13" s="22"/>
      <c r="J13" s="22"/>
      <c r="K13" s="23"/>
    </row>
    <row r="14" spans="1:16" ht="3.75" customHeight="1" x14ac:dyDescent="0.25">
      <c r="A14" s="47"/>
      <c r="B14" s="24"/>
      <c r="C14" s="24"/>
      <c r="D14" s="71"/>
      <c r="E14" s="24"/>
      <c r="F14" s="24"/>
      <c r="G14" s="24"/>
      <c r="H14" s="24"/>
      <c r="I14" s="24"/>
      <c r="J14" s="24"/>
      <c r="K14" s="24"/>
    </row>
    <row r="15" spans="1:16" x14ac:dyDescent="0.3">
      <c r="A15" s="48" t="s">
        <v>356</v>
      </c>
      <c r="B15" s="1" t="s">
        <v>360</v>
      </c>
      <c r="C15" s="107" t="s">
        <v>361</v>
      </c>
      <c r="D15" s="41">
        <v>201752610</v>
      </c>
      <c r="E15" s="5">
        <v>90</v>
      </c>
      <c r="F15" s="6" t="s">
        <v>20</v>
      </c>
      <c r="G15" s="7">
        <f>+K15+E15</f>
        <v>43123</v>
      </c>
      <c r="H15" s="9">
        <v>73.5</v>
      </c>
      <c r="I15" s="8">
        <v>1255</v>
      </c>
      <c r="J15" s="8">
        <f>+H15*I15</f>
        <v>92242.5</v>
      </c>
      <c r="K15" s="106">
        <v>43033</v>
      </c>
      <c r="L15" s="69" t="s">
        <v>406</v>
      </c>
    </row>
    <row r="16" spans="1:16" ht="18.75" x14ac:dyDescent="0.3">
      <c r="A16" s="531" t="s">
        <v>91</v>
      </c>
      <c r="B16" s="532"/>
      <c r="C16" s="13"/>
      <c r="D16" s="72"/>
      <c r="E16" s="13"/>
      <c r="F16" s="13"/>
      <c r="G16" s="13"/>
      <c r="H16" s="13"/>
      <c r="I16" s="13"/>
      <c r="J16" s="13"/>
      <c r="K16" s="14"/>
    </row>
    <row r="17" spans="1:12" x14ac:dyDescent="0.3">
      <c r="A17" s="49"/>
      <c r="B17" s="17" t="s">
        <v>76</v>
      </c>
      <c r="C17" s="37" t="s">
        <v>606</v>
      </c>
      <c r="D17" s="73"/>
      <c r="E17" s="37"/>
      <c r="F17" s="37"/>
      <c r="G17" s="37"/>
      <c r="H17" s="18"/>
      <c r="I17" s="18"/>
      <c r="J17" s="18"/>
      <c r="K17" s="19"/>
    </row>
    <row r="18" spans="1:12" x14ac:dyDescent="0.3">
      <c r="A18" s="49"/>
      <c r="B18" s="17" t="s">
        <v>78</v>
      </c>
      <c r="C18" s="37" t="s">
        <v>607</v>
      </c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81</v>
      </c>
      <c r="C19" s="37" t="s">
        <v>608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98</v>
      </c>
      <c r="C20" s="44" t="s">
        <v>609</v>
      </c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84</v>
      </c>
      <c r="C21" s="44" t="s">
        <v>610</v>
      </c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50"/>
      <c r="B22" s="21"/>
      <c r="C22" s="21"/>
      <c r="D22" s="74"/>
      <c r="E22" s="21"/>
      <c r="F22" s="21"/>
      <c r="G22" s="21"/>
      <c r="H22" s="22"/>
      <c r="I22" s="22"/>
      <c r="J22" s="22"/>
      <c r="K22" s="23"/>
    </row>
    <row r="23" spans="1:12" ht="3.75" customHeight="1" x14ac:dyDescent="0.25">
      <c r="A23" s="47"/>
      <c r="B23" s="24"/>
      <c r="C23" s="24"/>
      <c r="D23" s="71"/>
      <c r="E23" s="24"/>
      <c r="F23" s="24"/>
      <c r="G23" s="24"/>
      <c r="H23" s="24"/>
      <c r="I23" s="24"/>
      <c r="J23" s="24"/>
      <c r="K23" s="24"/>
    </row>
    <row r="24" spans="1:12" x14ac:dyDescent="0.3">
      <c r="A24" s="48" t="s">
        <v>483</v>
      </c>
      <c r="B24" s="1" t="s">
        <v>14</v>
      </c>
      <c r="C24" s="107" t="s">
        <v>15</v>
      </c>
      <c r="D24" s="41">
        <v>20310</v>
      </c>
      <c r="E24" s="5" t="s">
        <v>5</v>
      </c>
      <c r="F24" s="6"/>
      <c r="G24" s="7">
        <v>43125</v>
      </c>
      <c r="H24" s="9">
        <v>307.8</v>
      </c>
      <c r="I24" s="8">
        <v>876</v>
      </c>
      <c r="J24" s="8">
        <f>+H24*I24</f>
        <v>269632.8</v>
      </c>
      <c r="K24" s="106"/>
      <c r="L24" s="69" t="s">
        <v>406</v>
      </c>
    </row>
    <row r="25" spans="1:12" x14ac:dyDescent="0.3">
      <c r="A25" s="48" t="s">
        <v>484</v>
      </c>
      <c r="B25" s="1" t="s">
        <v>14</v>
      </c>
      <c r="C25" s="107" t="s">
        <v>15</v>
      </c>
      <c r="D25" s="41">
        <v>20309</v>
      </c>
      <c r="E25" s="5" t="s">
        <v>5</v>
      </c>
      <c r="F25" s="6"/>
      <c r="G25" s="7">
        <v>43125</v>
      </c>
      <c r="H25" s="9">
        <v>307.8</v>
      </c>
      <c r="I25" s="8">
        <v>886</v>
      </c>
      <c r="J25" s="8">
        <f>+H25*I25</f>
        <v>272710.8</v>
      </c>
      <c r="K25" s="106"/>
      <c r="L25" s="69" t="s">
        <v>406</v>
      </c>
    </row>
    <row r="26" spans="1:12" ht="18.75" x14ac:dyDescent="0.3">
      <c r="A26" s="531" t="s">
        <v>91</v>
      </c>
      <c r="B26" s="532"/>
      <c r="C26" s="13"/>
      <c r="D26" s="72"/>
      <c r="E26" s="13"/>
      <c r="F26" s="13"/>
      <c r="G26" s="13"/>
      <c r="H26" s="13"/>
      <c r="I26" s="13"/>
      <c r="J26" s="13"/>
      <c r="K26" s="14"/>
    </row>
    <row r="27" spans="1:12" x14ac:dyDescent="0.3">
      <c r="A27" s="49"/>
      <c r="B27" s="17" t="s">
        <v>76</v>
      </c>
      <c r="C27" s="37" t="s">
        <v>15</v>
      </c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78</v>
      </c>
      <c r="C28" s="37" t="s">
        <v>227</v>
      </c>
      <c r="D28" s="73"/>
      <c r="E28" s="37"/>
      <c r="F28" s="37"/>
      <c r="G28" s="37"/>
      <c r="H28" s="18"/>
      <c r="I28" s="59"/>
      <c r="J28" s="18"/>
      <c r="K28" s="19"/>
    </row>
    <row r="29" spans="1:12" x14ac:dyDescent="0.3">
      <c r="A29" s="49"/>
      <c r="B29" s="56" t="s">
        <v>98</v>
      </c>
      <c r="C29" s="45" t="s">
        <v>387</v>
      </c>
      <c r="D29" s="73"/>
      <c r="E29" s="37"/>
      <c r="F29" s="37"/>
      <c r="G29" s="37"/>
      <c r="H29" s="18"/>
      <c r="I29" s="18"/>
      <c r="J29" s="18"/>
      <c r="K29" s="19"/>
      <c r="L29" s="108"/>
    </row>
    <row r="30" spans="1:12" x14ac:dyDescent="0.3">
      <c r="A30" s="49"/>
      <c r="B30" s="17" t="s">
        <v>78</v>
      </c>
      <c r="C30" s="17" t="s">
        <v>388</v>
      </c>
      <c r="D30" s="73"/>
      <c r="E30" s="37"/>
      <c r="F30" s="37"/>
      <c r="G30" s="37"/>
      <c r="H30" s="18"/>
      <c r="I30" s="18"/>
      <c r="J30" s="18"/>
      <c r="K30" s="19"/>
    </row>
    <row r="31" spans="1:12" x14ac:dyDescent="0.3">
      <c r="A31" s="49"/>
      <c r="B31" s="17" t="s">
        <v>81</v>
      </c>
      <c r="C31" s="45" t="s">
        <v>389</v>
      </c>
      <c r="D31" s="73"/>
      <c r="E31" s="37"/>
      <c r="F31" s="37"/>
      <c r="G31" s="37"/>
      <c r="H31" s="18"/>
      <c r="I31" s="18"/>
      <c r="J31" s="18"/>
      <c r="K31" s="19"/>
    </row>
    <row r="32" spans="1:12" ht="15" x14ac:dyDescent="0.25">
      <c r="A32" s="49"/>
      <c r="B32" s="17" t="s">
        <v>169</v>
      </c>
      <c r="C32" s="45" t="s">
        <v>390</v>
      </c>
      <c r="D32" s="73"/>
      <c r="E32" s="37"/>
      <c r="F32" s="37"/>
      <c r="G32" s="37"/>
      <c r="H32" s="18"/>
      <c r="I32" s="18"/>
      <c r="J32" s="18"/>
      <c r="K32" s="19"/>
    </row>
    <row r="33" spans="1:11" x14ac:dyDescent="0.3">
      <c r="A33" s="49"/>
      <c r="B33" s="17" t="s">
        <v>85</v>
      </c>
      <c r="C33" s="45" t="s">
        <v>391</v>
      </c>
      <c r="D33" s="73"/>
      <c r="E33" s="37"/>
      <c r="F33" s="37"/>
      <c r="G33" s="37"/>
      <c r="H33" s="18"/>
      <c r="I33" s="18"/>
      <c r="J33" s="18"/>
      <c r="K33" s="19"/>
    </row>
    <row r="34" spans="1:11" ht="15" x14ac:dyDescent="0.25">
      <c r="A34" s="50"/>
      <c r="B34" s="21"/>
      <c r="C34" s="21"/>
      <c r="D34" s="74"/>
      <c r="E34" s="21"/>
      <c r="F34" s="21"/>
      <c r="G34" s="21"/>
      <c r="H34" s="22"/>
      <c r="I34" s="22"/>
      <c r="J34" s="22"/>
      <c r="K34" s="23"/>
    </row>
  </sheetData>
  <mergeCells count="4">
    <mergeCell ref="L1:P1"/>
    <mergeCell ref="A4:B4"/>
    <mergeCell ref="A16:B16"/>
    <mergeCell ref="A26:B26"/>
  </mergeCells>
  <conditionalFormatting sqref="G3">
    <cfRule type="cellIs" dxfId="1763" priority="39" operator="between">
      <formula>TODAY()</formula>
      <formula>TODAY()+10</formula>
    </cfRule>
  </conditionalFormatting>
  <conditionalFormatting sqref="G3">
    <cfRule type="cellIs" dxfId="1762" priority="40" operator="between">
      <formula>TODAY()</formula>
      <formula>TODAY()+10</formula>
    </cfRule>
  </conditionalFormatting>
  <conditionalFormatting sqref="G15">
    <cfRule type="cellIs" dxfId="1761" priority="37" operator="between">
      <formula>TODAY()</formula>
      <formula>TODAY()+10</formula>
    </cfRule>
  </conditionalFormatting>
  <conditionalFormatting sqref="G24:G25">
    <cfRule type="cellIs" dxfId="1760" priority="31" operator="between">
      <formula>TODAY()</formula>
      <formula>TODAY()+10</formula>
    </cfRule>
  </conditionalFormatting>
  <conditionalFormatting sqref="G24:G25">
    <cfRule type="cellIs" dxfId="1759" priority="32" operator="between">
      <formula>TODAY()</formula>
      <formula>TODAY()+10</formula>
    </cfRule>
  </conditionalFormatting>
  <dataValidations count="4">
    <dataValidation type="list" allowBlank="1" showInputMessage="1" showErrorMessage="1" sqref="B15 B24:B25">
      <formula1>MATERIALES</formula1>
    </dataValidation>
    <dataValidation type="list" allowBlank="1" showInputMessage="1" showErrorMessage="1" sqref="C15 C24:C25">
      <formula1>PROVEEDORES</formula1>
    </dataValidation>
    <dataValidation type="list" allowBlank="1" showInputMessage="1" showErrorMessage="1" sqref="E13 E16:E22 E3 E24:E25 E34">
      <formula1>PLAZOdePAGO</formula1>
    </dataValidation>
    <dataValidation type="list" allowBlank="1" showInputMessage="1" showErrorMessage="1" sqref="F13 F16:F22 F3 F24:F25 F34">
      <formula1>PLAZOdePAGO2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"/>
  <sheetViews>
    <sheetView showGridLines="0" topLeftCell="A31" workbookViewId="0">
      <selection activeCell="G32" sqref="G32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1" width="11.44140625" style="10"/>
    <col min="12" max="12" width="4.44140625" style="10" bestFit="1" customWidth="1"/>
    <col min="13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572</v>
      </c>
      <c r="B3" s="1" t="s">
        <v>4</v>
      </c>
      <c r="C3" s="107" t="s">
        <v>245</v>
      </c>
      <c r="D3" s="41"/>
      <c r="E3" s="5" t="s">
        <v>5</v>
      </c>
      <c r="F3" s="6"/>
      <c r="G3" s="7">
        <v>43137</v>
      </c>
      <c r="H3" s="9">
        <v>500</v>
      </c>
      <c r="I3" s="8">
        <v>510</v>
      </c>
      <c r="J3" s="8">
        <f>+H3*I3</f>
        <v>255000</v>
      </c>
      <c r="K3" s="106"/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303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304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 t="s">
        <v>305</v>
      </c>
      <c r="D7" s="73"/>
      <c r="E7" s="37"/>
      <c r="F7" s="37"/>
      <c r="G7" s="37"/>
      <c r="H7" s="18"/>
      <c r="I7" s="18"/>
      <c r="J7" s="18"/>
      <c r="K7" s="19"/>
    </row>
    <row r="8" spans="1:16" ht="15" x14ac:dyDescent="0.25">
      <c r="A8" s="49"/>
      <c r="B8" s="17" t="s">
        <v>169</v>
      </c>
      <c r="C8" s="17" t="s">
        <v>300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44" t="s">
        <v>301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81</v>
      </c>
      <c r="C10" s="45" t="s">
        <v>302</v>
      </c>
      <c r="D10" s="73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ht="3.75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ht="15" x14ac:dyDescent="0.25">
      <c r="A13" s="48" t="s">
        <v>561</v>
      </c>
      <c r="B13" s="1" t="s">
        <v>359</v>
      </c>
      <c r="C13" s="107" t="s">
        <v>7</v>
      </c>
      <c r="D13" s="41"/>
      <c r="E13" s="5" t="s">
        <v>5</v>
      </c>
      <c r="F13" s="6"/>
      <c r="G13" s="7">
        <v>43131</v>
      </c>
      <c r="H13" s="9">
        <v>100</v>
      </c>
      <c r="I13" s="8">
        <v>841</v>
      </c>
      <c r="J13" s="8">
        <f>+H13*I13</f>
        <v>84100</v>
      </c>
      <c r="K13" s="106">
        <v>43131</v>
      </c>
      <c r="L13" s="69"/>
    </row>
    <row r="14" spans="1:16" ht="18.75" x14ac:dyDescent="0.3">
      <c r="A14" s="531" t="s">
        <v>91</v>
      </c>
      <c r="B14" s="532"/>
      <c r="C14" s="13"/>
      <c r="D14" s="72"/>
      <c r="E14" s="13"/>
      <c r="F14" s="13"/>
      <c r="G14" s="13"/>
      <c r="H14" s="13"/>
      <c r="I14" s="13"/>
      <c r="J14" s="13"/>
      <c r="K14" s="14"/>
    </row>
    <row r="15" spans="1:16" x14ac:dyDescent="0.3">
      <c r="A15" s="49"/>
      <c r="B15" s="17" t="s">
        <v>76</v>
      </c>
      <c r="C15" s="37" t="s">
        <v>92</v>
      </c>
      <c r="D15" s="73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17" t="s">
        <v>78</v>
      </c>
      <c r="C16" s="37" t="s">
        <v>627</v>
      </c>
      <c r="D16" s="73"/>
      <c r="E16" s="37"/>
      <c r="F16" s="37"/>
      <c r="G16" s="37"/>
      <c r="H16" s="18"/>
      <c r="I16" s="59"/>
      <c r="J16" s="18"/>
      <c r="K16" s="19"/>
    </row>
    <row r="17" spans="1:14" x14ac:dyDescent="0.3">
      <c r="A17" s="49"/>
      <c r="B17" s="56" t="s">
        <v>98</v>
      </c>
      <c r="C17" s="45" t="s">
        <v>645</v>
      </c>
      <c r="D17" s="73"/>
      <c r="E17" s="37"/>
      <c r="F17" s="37"/>
      <c r="G17" s="37"/>
      <c r="H17" s="18"/>
      <c r="I17" s="18"/>
      <c r="J17" s="18"/>
      <c r="K17" s="19"/>
      <c r="L17" s="108"/>
    </row>
    <row r="18" spans="1:14" x14ac:dyDescent="0.3">
      <c r="A18" s="49"/>
      <c r="B18" s="17" t="s">
        <v>81</v>
      </c>
      <c r="C18" s="45" t="s">
        <v>471</v>
      </c>
      <c r="D18" s="73"/>
      <c r="E18" s="37"/>
      <c r="F18" s="37"/>
      <c r="G18" s="37"/>
      <c r="H18" s="18"/>
      <c r="I18" s="18"/>
      <c r="J18" s="18"/>
      <c r="K18" s="19"/>
    </row>
    <row r="19" spans="1:14" ht="15" x14ac:dyDescent="0.25">
      <c r="A19" s="49"/>
      <c r="B19" s="17" t="s">
        <v>169</v>
      </c>
      <c r="C19" s="45" t="s">
        <v>472</v>
      </c>
      <c r="D19" s="73"/>
      <c r="E19" s="37"/>
      <c r="F19" s="37"/>
      <c r="G19" s="37"/>
      <c r="H19" s="18"/>
      <c r="I19" s="18"/>
      <c r="J19" s="18"/>
      <c r="K19" s="19"/>
    </row>
    <row r="20" spans="1:14" x14ac:dyDescent="0.3">
      <c r="A20" s="49"/>
      <c r="B20" s="17" t="s">
        <v>85</v>
      </c>
      <c r="C20" s="45" t="s">
        <v>646</v>
      </c>
      <c r="D20" s="73"/>
      <c r="E20" s="37"/>
      <c r="F20" s="37"/>
      <c r="G20" s="37"/>
      <c r="H20" s="18"/>
      <c r="I20" s="18"/>
      <c r="J20" s="18"/>
      <c r="K20" s="19"/>
    </row>
    <row r="21" spans="1:14" x14ac:dyDescent="0.3">
      <c r="A21" s="49"/>
      <c r="B21" s="56" t="s">
        <v>165</v>
      </c>
      <c r="C21" s="45" t="s">
        <v>647</v>
      </c>
      <c r="D21" s="73"/>
      <c r="E21" s="37"/>
      <c r="F21" s="37"/>
      <c r="G21" s="37"/>
      <c r="H21" s="18"/>
      <c r="I21" s="18"/>
      <c r="J21" s="18"/>
      <c r="K21" s="19"/>
      <c r="L21" s="108"/>
    </row>
    <row r="22" spans="1:14" x14ac:dyDescent="0.3">
      <c r="A22" s="49"/>
      <c r="B22" s="17" t="s">
        <v>85</v>
      </c>
      <c r="C22" s="45" t="s">
        <v>648</v>
      </c>
      <c r="D22" s="73"/>
      <c r="E22" s="37"/>
      <c r="F22" s="37"/>
      <c r="G22" s="37"/>
      <c r="H22" s="18"/>
      <c r="I22" s="18"/>
      <c r="J22" s="18"/>
      <c r="K22" s="19"/>
      <c r="L22" s="108"/>
    </row>
    <row r="23" spans="1:14" ht="15" x14ac:dyDescent="0.25">
      <c r="A23" s="49"/>
      <c r="B23" s="17"/>
      <c r="C23" s="45"/>
      <c r="D23" s="73"/>
      <c r="E23" s="37"/>
      <c r="F23" s="37"/>
      <c r="G23" s="37"/>
      <c r="H23" s="18"/>
      <c r="I23" s="18"/>
      <c r="J23" s="18"/>
      <c r="K23" s="19"/>
      <c r="L23" s="108"/>
    </row>
    <row r="24" spans="1:14" ht="4.5" customHeight="1" x14ac:dyDescent="0.25">
      <c r="A24" s="130"/>
      <c r="B24" s="131"/>
      <c r="C24" s="131"/>
      <c r="D24" s="132"/>
      <c r="E24" s="133"/>
      <c r="F24" s="133"/>
      <c r="G24" s="133"/>
      <c r="H24" s="134"/>
      <c r="I24" s="134"/>
      <c r="J24" s="134"/>
      <c r="K24" s="135"/>
    </row>
    <row r="25" spans="1:14" x14ac:dyDescent="0.3">
      <c r="A25" s="48" t="s">
        <v>143</v>
      </c>
      <c r="B25" s="1" t="s">
        <v>6</v>
      </c>
      <c r="C25" s="107" t="s">
        <v>7</v>
      </c>
      <c r="D25" s="41" t="s">
        <v>450</v>
      </c>
      <c r="E25" s="5">
        <v>90</v>
      </c>
      <c r="F25" s="6" t="s">
        <v>20</v>
      </c>
      <c r="G25" s="7">
        <f>+K25+90</f>
        <v>43129</v>
      </c>
      <c r="H25" s="9">
        <v>250</v>
      </c>
      <c r="I25" s="8">
        <v>505</v>
      </c>
      <c r="J25" s="8">
        <f>+I25*H25</f>
        <v>126250</v>
      </c>
      <c r="K25" s="106">
        <v>43039</v>
      </c>
      <c r="L25" s="69" t="s">
        <v>499</v>
      </c>
      <c r="N25" s="10" t="s">
        <v>642</v>
      </c>
    </row>
    <row r="26" spans="1:14" x14ac:dyDescent="0.3">
      <c r="A26" s="48" t="s">
        <v>451</v>
      </c>
      <c r="B26" s="1" t="s">
        <v>6</v>
      </c>
      <c r="C26" s="107" t="s">
        <v>7</v>
      </c>
      <c r="D26" s="41" t="s">
        <v>497</v>
      </c>
      <c r="E26" s="5">
        <v>90</v>
      </c>
      <c r="F26" s="6" t="s">
        <v>20</v>
      </c>
      <c r="G26" s="7">
        <f>+K26+90</f>
        <v>43136</v>
      </c>
      <c r="H26" s="9">
        <v>250</v>
      </c>
      <c r="I26" s="8">
        <v>505</v>
      </c>
      <c r="J26" s="8">
        <f>+I26*H26</f>
        <v>126250</v>
      </c>
      <c r="K26" s="106">
        <v>43046</v>
      </c>
      <c r="L26" s="69" t="s">
        <v>499</v>
      </c>
    </row>
    <row r="27" spans="1:14" ht="18.75" x14ac:dyDescent="0.3">
      <c r="A27" s="531" t="s">
        <v>91</v>
      </c>
      <c r="B27" s="532"/>
      <c r="C27" s="13"/>
      <c r="D27" s="72"/>
      <c r="E27" s="13"/>
      <c r="F27" s="13"/>
      <c r="G27" s="13"/>
      <c r="H27" s="13"/>
      <c r="I27" s="13"/>
      <c r="J27" s="13"/>
      <c r="K27" s="14"/>
    </row>
    <row r="28" spans="1:14" x14ac:dyDescent="0.3">
      <c r="A28" s="49"/>
      <c r="B28" s="17" t="s">
        <v>76</v>
      </c>
      <c r="C28" s="37" t="s">
        <v>92</v>
      </c>
      <c r="D28" s="73"/>
      <c r="E28" s="37"/>
      <c r="F28" s="37"/>
      <c r="G28" s="37"/>
      <c r="H28" s="18"/>
      <c r="I28" s="18"/>
      <c r="J28" s="18"/>
      <c r="K28" s="19"/>
    </row>
    <row r="29" spans="1:14" x14ac:dyDescent="0.3">
      <c r="A29" s="49"/>
      <c r="B29" s="17" t="s">
        <v>78</v>
      </c>
      <c r="C29" s="37" t="s">
        <v>627</v>
      </c>
      <c r="D29" s="73"/>
      <c r="E29" s="37"/>
      <c r="F29" s="37"/>
      <c r="G29" s="37"/>
      <c r="H29" s="18"/>
      <c r="I29" s="59"/>
      <c r="J29" s="18"/>
      <c r="K29" s="19"/>
    </row>
    <row r="30" spans="1:14" x14ac:dyDescent="0.3">
      <c r="A30" s="49"/>
      <c r="B30" s="56" t="s">
        <v>98</v>
      </c>
      <c r="C30" s="45" t="s">
        <v>410</v>
      </c>
      <c r="D30" s="73"/>
      <c r="E30" s="37"/>
      <c r="F30" s="37"/>
      <c r="G30" s="37"/>
      <c r="H30" s="18"/>
      <c r="I30" s="18"/>
      <c r="J30" s="18"/>
      <c r="K30" s="19"/>
      <c r="L30" s="108"/>
    </row>
    <row r="31" spans="1:14" x14ac:dyDescent="0.3">
      <c r="A31" s="49"/>
      <c r="B31" s="17" t="s">
        <v>81</v>
      </c>
      <c r="C31" s="45" t="s">
        <v>424</v>
      </c>
      <c r="D31" s="73"/>
      <c r="E31" s="37"/>
      <c r="F31" s="37"/>
      <c r="G31" s="37"/>
      <c r="H31" s="18"/>
      <c r="I31" s="18"/>
      <c r="J31" s="18"/>
      <c r="K31" s="19"/>
    </row>
    <row r="32" spans="1:14" ht="15" x14ac:dyDescent="0.25">
      <c r="A32" s="49"/>
      <c r="B32" s="17" t="s">
        <v>169</v>
      </c>
      <c r="C32" s="45" t="s">
        <v>412</v>
      </c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85</v>
      </c>
      <c r="C33" s="45" t="s">
        <v>104</v>
      </c>
      <c r="D33" s="73"/>
      <c r="E33" s="37"/>
      <c r="F33" s="37"/>
      <c r="G33" s="37"/>
      <c r="H33" s="18"/>
      <c r="I33" s="18"/>
      <c r="J33" s="18"/>
      <c r="K33" s="19"/>
    </row>
    <row r="34" spans="1:12" x14ac:dyDescent="0.3">
      <c r="A34" s="49"/>
      <c r="B34" s="56" t="s">
        <v>165</v>
      </c>
      <c r="C34" s="45" t="s">
        <v>107</v>
      </c>
      <c r="D34" s="73"/>
      <c r="E34" s="37"/>
      <c r="F34" s="37"/>
      <c r="G34" s="37"/>
      <c r="H34" s="18"/>
      <c r="I34" s="18"/>
      <c r="J34" s="18"/>
      <c r="K34" s="19"/>
      <c r="L34" s="108"/>
    </row>
    <row r="35" spans="1:12" x14ac:dyDescent="0.3">
      <c r="A35" s="49"/>
      <c r="B35" s="17" t="s">
        <v>85</v>
      </c>
      <c r="C35" s="45" t="s">
        <v>108</v>
      </c>
      <c r="D35" s="73"/>
      <c r="E35" s="37"/>
      <c r="F35" s="37"/>
      <c r="G35" s="37"/>
      <c r="H35" s="18"/>
      <c r="I35" s="18"/>
      <c r="J35" s="18"/>
      <c r="K35" s="19"/>
    </row>
    <row r="36" spans="1:12" ht="15" x14ac:dyDescent="0.25">
      <c r="A36" s="50"/>
      <c r="B36" s="21"/>
      <c r="C36" s="21"/>
      <c r="D36" s="74"/>
      <c r="E36" s="21"/>
      <c r="F36" s="21"/>
      <c r="G36" s="21"/>
      <c r="H36" s="22"/>
      <c r="I36" s="22"/>
      <c r="J36" s="22"/>
      <c r="K36" s="23"/>
    </row>
    <row r="37" spans="1:12" ht="3.75" customHeight="1" x14ac:dyDescent="0.25">
      <c r="A37" s="47"/>
      <c r="B37" s="24"/>
      <c r="C37" s="24"/>
      <c r="D37" s="71"/>
      <c r="E37" s="24"/>
      <c r="F37" s="24"/>
      <c r="G37" s="24"/>
      <c r="H37" s="24"/>
      <c r="I37" s="24"/>
      <c r="J37" s="24"/>
      <c r="K37" s="24"/>
    </row>
    <row r="38" spans="1:12" ht="15" x14ac:dyDescent="0.25">
      <c r="A38" s="48" t="s">
        <v>586</v>
      </c>
      <c r="B38" s="1" t="s">
        <v>6</v>
      </c>
      <c r="C38" s="107" t="s">
        <v>17</v>
      </c>
      <c r="D38" s="41"/>
      <c r="E38" s="5" t="s">
        <v>5</v>
      </c>
      <c r="F38" s="6"/>
      <c r="G38" s="7">
        <v>43137</v>
      </c>
      <c r="H38" s="9">
        <v>150</v>
      </c>
      <c r="I38" s="8">
        <v>526</v>
      </c>
      <c r="J38" s="8">
        <f>+I38*H38*L38</f>
        <v>55230</v>
      </c>
      <c r="K38" s="106">
        <v>43141</v>
      </c>
      <c r="L38" s="10">
        <v>0.7</v>
      </c>
    </row>
    <row r="39" spans="1:12" ht="15" x14ac:dyDescent="0.25">
      <c r="A39" s="48" t="s">
        <v>604</v>
      </c>
      <c r="B39" s="1" t="s">
        <v>6</v>
      </c>
      <c r="C39" s="107" t="s">
        <v>17</v>
      </c>
      <c r="D39" s="41"/>
      <c r="E39" s="5" t="s">
        <v>5</v>
      </c>
      <c r="F39" s="6"/>
      <c r="G39" s="7">
        <v>43137</v>
      </c>
      <c r="H39" s="9">
        <v>500</v>
      </c>
      <c r="I39" s="8">
        <v>501</v>
      </c>
      <c r="J39" s="8">
        <f>+H39*I39*L39</f>
        <v>175350</v>
      </c>
      <c r="K39" s="106">
        <v>43141</v>
      </c>
      <c r="L39" s="10">
        <v>0.7</v>
      </c>
    </row>
    <row r="40" spans="1:12" ht="18.75" x14ac:dyDescent="0.3">
      <c r="A40" s="531" t="s">
        <v>91</v>
      </c>
      <c r="B40" s="532"/>
      <c r="C40" s="13"/>
      <c r="D40" s="72"/>
      <c r="E40" s="13"/>
      <c r="F40" s="13"/>
      <c r="G40" s="13"/>
      <c r="H40" s="13"/>
      <c r="I40" s="13"/>
      <c r="J40" s="13"/>
      <c r="K40" s="14"/>
    </row>
    <row r="41" spans="1:12" x14ac:dyDescent="0.3">
      <c r="A41" s="49"/>
      <c r="B41" s="17" t="s">
        <v>76</v>
      </c>
      <c r="C41" s="37" t="s">
        <v>17</v>
      </c>
      <c r="D41" s="73"/>
      <c r="E41" s="37"/>
      <c r="F41" s="37"/>
      <c r="G41" s="37"/>
      <c r="H41" s="18"/>
      <c r="I41" s="18"/>
      <c r="J41" s="18"/>
      <c r="K41" s="19"/>
    </row>
    <row r="42" spans="1:12" x14ac:dyDescent="0.3">
      <c r="A42" s="49"/>
      <c r="B42" s="17" t="s">
        <v>83</v>
      </c>
      <c r="C42" s="37" t="s">
        <v>349</v>
      </c>
      <c r="D42" s="73"/>
      <c r="E42" s="37"/>
      <c r="F42" s="37"/>
      <c r="G42" s="37"/>
      <c r="H42" s="18"/>
      <c r="I42" s="59"/>
      <c r="J42" s="18"/>
      <c r="K42" s="19"/>
    </row>
    <row r="43" spans="1:12" x14ac:dyDescent="0.3">
      <c r="A43" s="49"/>
      <c r="B43" s="17" t="s">
        <v>81</v>
      </c>
      <c r="C43" s="37" t="s">
        <v>345</v>
      </c>
      <c r="D43" s="73"/>
      <c r="E43" s="37"/>
      <c r="F43" s="37"/>
      <c r="G43" s="37"/>
      <c r="H43" s="18"/>
      <c r="I43" s="18"/>
      <c r="J43" s="18"/>
      <c r="K43" s="19"/>
    </row>
    <row r="44" spans="1:12" x14ac:dyDescent="0.3">
      <c r="A44" s="49"/>
      <c r="B44" s="56" t="s">
        <v>98</v>
      </c>
      <c r="C44" s="44" t="s">
        <v>346</v>
      </c>
      <c r="D44" s="73"/>
      <c r="E44" s="37"/>
      <c r="F44" s="37"/>
      <c r="G44" s="37"/>
      <c r="H44" s="18"/>
      <c r="I44" s="18"/>
      <c r="J44" s="18"/>
      <c r="K44" s="19"/>
    </row>
    <row r="45" spans="1:12" x14ac:dyDescent="0.3">
      <c r="A45" s="49"/>
      <c r="B45" s="17" t="s">
        <v>84</v>
      </c>
      <c r="C45" s="44" t="s">
        <v>347</v>
      </c>
      <c r="D45" s="73"/>
      <c r="E45" s="37"/>
      <c r="F45" s="37"/>
      <c r="G45" s="37"/>
      <c r="H45" s="18"/>
      <c r="I45" s="18"/>
      <c r="J45" s="18"/>
      <c r="K45" s="19"/>
    </row>
    <row r="46" spans="1:12" x14ac:dyDescent="0.3">
      <c r="A46" s="49"/>
      <c r="B46" s="17" t="s">
        <v>85</v>
      </c>
      <c r="C46" s="44" t="s">
        <v>348</v>
      </c>
      <c r="D46" s="73"/>
      <c r="E46" s="37"/>
      <c r="F46" s="37"/>
      <c r="G46" s="37"/>
      <c r="H46" s="18"/>
      <c r="I46" s="18"/>
      <c r="J46" s="18"/>
      <c r="K46" s="19"/>
    </row>
    <row r="47" spans="1:12" ht="15" x14ac:dyDescent="0.25">
      <c r="A47" s="50"/>
      <c r="B47" s="21"/>
      <c r="C47" s="21"/>
      <c r="D47" s="74"/>
      <c r="E47" s="21"/>
      <c r="F47" s="21"/>
      <c r="G47" s="21"/>
      <c r="H47" s="22"/>
      <c r="I47" s="22"/>
      <c r="J47" s="22"/>
      <c r="K47" s="23"/>
    </row>
    <row r="48" spans="1:12" ht="3.75" customHeight="1" x14ac:dyDescent="0.25">
      <c r="A48" s="47"/>
      <c r="B48" s="24"/>
      <c r="C48" s="24"/>
      <c r="D48" s="71"/>
      <c r="E48" s="24"/>
      <c r="F48" s="24"/>
      <c r="G48" s="24"/>
      <c r="H48" s="24"/>
      <c r="I48" s="24"/>
      <c r="J48" s="24"/>
      <c r="K48" s="24"/>
    </row>
    <row r="49" spans="1:11" ht="15" x14ac:dyDescent="0.25">
      <c r="A49" s="48" t="s">
        <v>574</v>
      </c>
      <c r="B49" s="1" t="s">
        <v>243</v>
      </c>
      <c r="C49" s="107" t="s">
        <v>46</v>
      </c>
      <c r="D49" s="41"/>
      <c r="E49" s="5" t="s">
        <v>5</v>
      </c>
      <c r="F49" s="6"/>
      <c r="G49" s="7">
        <v>43132</v>
      </c>
      <c r="H49" s="9">
        <v>2000</v>
      </c>
      <c r="I49" s="8">
        <v>276</v>
      </c>
      <c r="J49" s="8">
        <f>+H49*I49</f>
        <v>552000</v>
      </c>
      <c r="K49" s="106"/>
    </row>
    <row r="50" spans="1:11" ht="18.75" x14ac:dyDescent="0.3">
      <c r="A50" s="531" t="s">
        <v>91</v>
      </c>
      <c r="B50" s="532"/>
      <c r="C50" s="13"/>
      <c r="D50" s="72"/>
      <c r="E50" s="13"/>
      <c r="F50" s="13"/>
      <c r="G50" s="13"/>
      <c r="H50" s="13"/>
      <c r="I50" s="13"/>
      <c r="J50" s="13"/>
      <c r="K50" s="14"/>
    </row>
    <row r="51" spans="1:11" x14ac:dyDescent="0.3">
      <c r="A51" s="49"/>
      <c r="B51" s="17" t="s">
        <v>76</v>
      </c>
      <c r="C51" s="37" t="s">
        <v>414</v>
      </c>
      <c r="D51" s="73"/>
      <c r="E51" s="37"/>
      <c r="F51" s="37"/>
      <c r="G51" s="37"/>
      <c r="H51" s="18"/>
      <c r="I51" s="18"/>
      <c r="J51" s="18"/>
      <c r="K51" s="19"/>
    </row>
    <row r="52" spans="1:11" x14ac:dyDescent="0.3">
      <c r="A52" s="49"/>
      <c r="B52" s="17" t="s">
        <v>78</v>
      </c>
      <c r="C52" s="37" t="s">
        <v>415</v>
      </c>
      <c r="D52" s="73"/>
      <c r="E52" s="37"/>
      <c r="F52" s="37"/>
      <c r="G52" s="37"/>
      <c r="H52" s="18"/>
      <c r="I52" s="59"/>
      <c r="J52" s="18"/>
      <c r="K52" s="19"/>
    </row>
    <row r="53" spans="1:11" x14ac:dyDescent="0.3">
      <c r="A53" s="49"/>
      <c r="B53" s="56" t="s">
        <v>98</v>
      </c>
      <c r="C53" s="45" t="s">
        <v>416</v>
      </c>
      <c r="D53" s="73"/>
      <c r="E53" s="37"/>
      <c r="F53" s="37"/>
      <c r="G53" s="37"/>
      <c r="H53" s="18"/>
      <c r="I53" s="18"/>
      <c r="J53" s="18"/>
      <c r="K53" s="19"/>
    </row>
    <row r="54" spans="1:11" x14ac:dyDescent="0.3">
      <c r="A54" s="49"/>
      <c r="B54" s="17" t="s">
        <v>81</v>
      </c>
      <c r="C54" s="45" t="s">
        <v>417</v>
      </c>
      <c r="D54" s="73"/>
      <c r="E54" s="37"/>
      <c r="F54" s="37"/>
      <c r="G54" s="37"/>
      <c r="H54" s="18"/>
      <c r="I54" s="18"/>
      <c r="J54" s="18"/>
      <c r="K54" s="19"/>
    </row>
    <row r="55" spans="1:11" ht="15" x14ac:dyDescent="0.25">
      <c r="A55" s="50"/>
      <c r="B55" s="21"/>
      <c r="C55" s="21"/>
      <c r="D55" s="74"/>
      <c r="E55" s="21"/>
      <c r="F55" s="21"/>
      <c r="G55" s="21"/>
      <c r="H55" s="22"/>
      <c r="I55" s="22"/>
      <c r="J55" s="22"/>
      <c r="K55" s="23"/>
    </row>
    <row r="56" spans="1:11" ht="3.75" customHeight="1" x14ac:dyDescent="0.25">
      <c r="A56" s="47"/>
      <c r="B56" s="24"/>
      <c r="C56" s="24"/>
      <c r="D56" s="71"/>
      <c r="E56" s="24"/>
      <c r="F56" s="24"/>
      <c r="G56" s="24"/>
      <c r="H56" s="24"/>
      <c r="I56" s="24"/>
      <c r="J56" s="24"/>
      <c r="K56" s="24"/>
    </row>
    <row r="57" spans="1:11" x14ac:dyDescent="0.3">
      <c r="A57" s="48" t="s">
        <v>357</v>
      </c>
      <c r="B57" s="1" t="s">
        <v>360</v>
      </c>
      <c r="C57" s="107" t="s">
        <v>361</v>
      </c>
      <c r="D57" s="41">
        <v>201752921</v>
      </c>
      <c r="E57" s="5">
        <v>90</v>
      </c>
      <c r="F57" s="6" t="s">
        <v>20</v>
      </c>
      <c r="G57" s="7">
        <v>43167</v>
      </c>
      <c r="H57" s="9">
        <v>49.8</v>
      </c>
      <c r="I57" s="8">
        <v>1250</v>
      </c>
      <c r="J57" s="8">
        <f>+H57*I57</f>
        <v>62250</v>
      </c>
      <c r="K57" s="106">
        <v>43045</v>
      </c>
    </row>
    <row r="58" spans="1:11" ht="18.75" x14ac:dyDescent="0.3">
      <c r="A58" s="531" t="s">
        <v>91</v>
      </c>
      <c r="B58" s="532"/>
      <c r="C58" s="13"/>
      <c r="D58" s="72"/>
      <c r="E58" s="13"/>
      <c r="F58" s="13"/>
      <c r="G58" s="13"/>
      <c r="H58" s="13"/>
      <c r="I58" s="13"/>
      <c r="J58" s="13"/>
      <c r="K58" s="14"/>
    </row>
    <row r="59" spans="1:11" x14ac:dyDescent="0.3">
      <c r="A59" s="49"/>
      <c r="B59" s="17" t="s">
        <v>76</v>
      </c>
      <c r="C59" s="37" t="s">
        <v>606</v>
      </c>
      <c r="D59" s="73"/>
      <c r="E59" s="37"/>
      <c r="F59" s="37"/>
      <c r="G59" s="37"/>
      <c r="H59" s="18"/>
      <c r="I59" s="18"/>
      <c r="J59" s="18"/>
      <c r="K59" s="19"/>
    </row>
    <row r="60" spans="1:11" x14ac:dyDescent="0.3">
      <c r="A60" s="49"/>
      <c r="B60" s="17" t="s">
        <v>78</v>
      </c>
      <c r="C60" s="37" t="s">
        <v>607</v>
      </c>
      <c r="D60" s="73"/>
      <c r="E60" s="37"/>
      <c r="F60" s="37"/>
      <c r="G60" s="37"/>
      <c r="H60" s="18"/>
      <c r="I60" s="18"/>
      <c r="J60" s="18"/>
      <c r="K60" s="19"/>
    </row>
    <row r="61" spans="1:11" x14ac:dyDescent="0.3">
      <c r="A61" s="49"/>
      <c r="B61" s="17" t="s">
        <v>81</v>
      </c>
      <c r="C61" s="37" t="s">
        <v>608</v>
      </c>
      <c r="D61" s="73"/>
      <c r="E61" s="37"/>
      <c r="F61" s="37"/>
      <c r="G61" s="37"/>
      <c r="H61" s="18"/>
      <c r="I61" s="18"/>
      <c r="J61" s="18"/>
      <c r="K61" s="19"/>
    </row>
    <row r="62" spans="1:11" x14ac:dyDescent="0.3">
      <c r="A62" s="49"/>
      <c r="B62" s="17" t="s">
        <v>98</v>
      </c>
      <c r="C62" s="44" t="s">
        <v>609</v>
      </c>
      <c r="D62" s="73"/>
      <c r="E62" s="37"/>
      <c r="F62" s="37"/>
      <c r="G62" s="37"/>
      <c r="H62" s="18"/>
      <c r="I62" s="18"/>
      <c r="J62" s="18"/>
      <c r="K62" s="19"/>
    </row>
    <row r="63" spans="1:11" x14ac:dyDescent="0.3">
      <c r="A63" s="49"/>
      <c r="B63" s="17" t="s">
        <v>84</v>
      </c>
      <c r="C63" s="44" t="s">
        <v>610</v>
      </c>
      <c r="D63" s="73"/>
      <c r="E63" s="37"/>
      <c r="F63" s="37"/>
      <c r="G63" s="37"/>
      <c r="H63" s="18"/>
      <c r="I63" s="18"/>
      <c r="J63" s="18"/>
      <c r="K63" s="19"/>
    </row>
    <row r="64" spans="1:11" x14ac:dyDescent="0.3">
      <c r="A64" s="50"/>
      <c r="B64" s="21"/>
      <c r="C64" s="21"/>
      <c r="D64" s="74"/>
      <c r="E64" s="21"/>
      <c r="F64" s="21"/>
      <c r="G64" s="21"/>
      <c r="H64" s="22"/>
      <c r="I64" s="22"/>
      <c r="J64" s="22"/>
      <c r="K64" s="23"/>
    </row>
    <row r="65" spans="1:11" ht="3.75" customHeight="1" x14ac:dyDescent="0.3">
      <c r="A65" s="47"/>
      <c r="B65" s="24"/>
      <c r="C65" s="24"/>
      <c r="D65" s="71"/>
      <c r="E65" s="24"/>
      <c r="F65" s="24"/>
      <c r="G65" s="24"/>
      <c r="H65" s="24"/>
      <c r="I65" s="24"/>
      <c r="J65" s="24"/>
      <c r="K65" s="24"/>
    </row>
    <row r="66" spans="1:11" x14ac:dyDescent="0.3">
      <c r="A66" s="48" t="s">
        <v>430</v>
      </c>
      <c r="B66" s="1" t="s">
        <v>445</v>
      </c>
      <c r="C66" s="107" t="s">
        <v>44</v>
      </c>
      <c r="D66" s="41" t="s">
        <v>605</v>
      </c>
      <c r="E66" s="5">
        <v>90</v>
      </c>
      <c r="F66" s="6" t="s">
        <v>20</v>
      </c>
      <c r="G66" s="7">
        <f>+K66+E66</f>
        <v>43131</v>
      </c>
      <c r="H66" s="9">
        <v>4.5350000000000001</v>
      </c>
      <c r="I66" s="8">
        <v>2352.753087100331</v>
      </c>
      <c r="J66" s="8">
        <f>+H66*I66</f>
        <v>10669.735250000002</v>
      </c>
      <c r="K66" s="106">
        <v>43041</v>
      </c>
    </row>
    <row r="67" spans="1:11" x14ac:dyDescent="0.3">
      <c r="A67" s="48" t="s">
        <v>431</v>
      </c>
      <c r="B67" s="1" t="s">
        <v>446</v>
      </c>
      <c r="C67" s="107" t="s">
        <v>44</v>
      </c>
      <c r="D67" s="41" t="s">
        <v>605</v>
      </c>
      <c r="E67" s="5">
        <v>90</v>
      </c>
      <c r="F67" s="6" t="s">
        <v>20</v>
      </c>
      <c r="G67" s="7">
        <f>+K67+E67</f>
        <v>43131</v>
      </c>
      <c r="H67" s="9">
        <v>6.8025000000000002</v>
      </c>
      <c r="I67" s="8">
        <v>2378.7730871003309</v>
      </c>
      <c r="J67" s="8">
        <f>+H67*I67</f>
        <v>16181.603925000001</v>
      </c>
      <c r="K67" s="106">
        <v>43041</v>
      </c>
    </row>
    <row r="68" spans="1:11" x14ac:dyDescent="0.3">
      <c r="A68" s="48" t="s">
        <v>432</v>
      </c>
      <c r="B68" s="1" t="s">
        <v>447</v>
      </c>
      <c r="C68" s="107" t="s">
        <v>44</v>
      </c>
      <c r="D68" s="41" t="s">
        <v>605</v>
      </c>
      <c r="E68" s="5">
        <v>90</v>
      </c>
      <c r="F68" s="6" t="s">
        <v>20</v>
      </c>
      <c r="G68" s="7">
        <f>+K68+E68</f>
        <v>43131</v>
      </c>
      <c r="H68" s="9">
        <v>6.8025000000000002</v>
      </c>
      <c r="I68" s="8">
        <v>2261.463087100331</v>
      </c>
      <c r="J68" s="8">
        <f>+H68*I68</f>
        <v>15383.602650000003</v>
      </c>
      <c r="K68" s="106">
        <v>43041</v>
      </c>
    </row>
    <row r="69" spans="1:11" ht="18" x14ac:dyDescent="0.35">
      <c r="A69" s="531" t="s">
        <v>91</v>
      </c>
      <c r="B69" s="532"/>
      <c r="C69" s="13"/>
      <c r="D69" s="72"/>
      <c r="E69" s="13"/>
      <c r="F69" s="13"/>
      <c r="G69" s="13"/>
      <c r="H69" s="13"/>
      <c r="I69" s="13"/>
      <c r="J69" s="13"/>
      <c r="K69" s="14"/>
    </row>
    <row r="70" spans="1:11" x14ac:dyDescent="0.3">
      <c r="A70" s="49"/>
      <c r="B70" s="17" t="s">
        <v>76</v>
      </c>
      <c r="C70" s="37"/>
      <c r="D70" s="73"/>
      <c r="E70" s="37"/>
      <c r="F70" s="37"/>
      <c r="G70" s="37"/>
      <c r="H70" s="18"/>
      <c r="I70" s="18"/>
      <c r="J70" s="18"/>
      <c r="K70" s="19"/>
    </row>
    <row r="71" spans="1:11" x14ac:dyDescent="0.3">
      <c r="A71" s="49"/>
      <c r="B71" s="17" t="s">
        <v>78</v>
      </c>
      <c r="C71" s="37"/>
      <c r="D71" s="73"/>
      <c r="E71" s="37"/>
      <c r="F71" s="37"/>
      <c r="G71" s="37"/>
      <c r="H71" s="18"/>
      <c r="I71" s="18"/>
      <c r="J71" s="18"/>
      <c r="K71" s="19"/>
    </row>
    <row r="72" spans="1:11" x14ac:dyDescent="0.3">
      <c r="A72" s="49"/>
      <c r="B72" s="17" t="s">
        <v>81</v>
      </c>
      <c r="C72" s="37"/>
      <c r="D72" s="73"/>
      <c r="E72" s="37"/>
      <c r="F72" s="37"/>
      <c r="G72" s="37"/>
      <c r="H72" s="18"/>
      <c r="I72" s="18"/>
      <c r="J72" s="18"/>
      <c r="K72" s="19"/>
    </row>
    <row r="73" spans="1:11" x14ac:dyDescent="0.3">
      <c r="A73" s="49"/>
      <c r="B73" s="17" t="s">
        <v>98</v>
      </c>
      <c r="C73" s="44"/>
      <c r="D73" s="73"/>
      <c r="E73" s="37"/>
      <c r="F73" s="37"/>
      <c r="G73" s="37"/>
      <c r="H73" s="18"/>
      <c r="I73" s="18"/>
      <c r="J73" s="18"/>
      <c r="K73" s="19"/>
    </row>
    <row r="74" spans="1:11" x14ac:dyDescent="0.3">
      <c r="A74" s="49"/>
      <c r="B74" s="17" t="s">
        <v>84</v>
      </c>
      <c r="C74" s="44"/>
      <c r="D74" s="73"/>
      <c r="E74" s="37"/>
      <c r="F74" s="37"/>
      <c r="G74" s="37"/>
      <c r="H74" s="18"/>
      <c r="I74" s="18"/>
      <c r="J74" s="18"/>
      <c r="K74" s="19"/>
    </row>
    <row r="75" spans="1:11" x14ac:dyDescent="0.3">
      <c r="A75" s="50"/>
      <c r="B75" s="21"/>
      <c r="C75" s="21"/>
      <c r="D75" s="74"/>
      <c r="E75" s="21"/>
      <c r="F75" s="21"/>
      <c r="G75" s="21"/>
      <c r="H75" s="22"/>
      <c r="I75" s="22"/>
      <c r="J75" s="22"/>
      <c r="K75" s="23"/>
    </row>
    <row r="76" spans="1:11" ht="3.75" customHeight="1" x14ac:dyDescent="0.3">
      <c r="A76" s="47"/>
      <c r="B76" s="24"/>
      <c r="C76" s="24"/>
      <c r="D76" s="71"/>
      <c r="E76" s="24"/>
      <c r="F76" s="24"/>
      <c r="G76" s="24"/>
      <c r="H76" s="24"/>
      <c r="I76" s="24"/>
      <c r="J76" s="24"/>
      <c r="K76" s="24"/>
    </row>
    <row r="77" spans="1:11" x14ac:dyDescent="0.3">
      <c r="A77" s="48" t="s">
        <v>437</v>
      </c>
      <c r="B77" s="1" t="s">
        <v>241</v>
      </c>
      <c r="C77" s="107" t="s">
        <v>42</v>
      </c>
      <c r="D77" s="41"/>
      <c r="E77" s="5" t="s">
        <v>5</v>
      </c>
      <c r="F77" s="6"/>
      <c r="G77" s="7">
        <v>43137</v>
      </c>
      <c r="H77" s="9">
        <v>100</v>
      </c>
      <c r="I77" s="8">
        <v>230</v>
      </c>
      <c r="J77" s="8">
        <f>+H77*I77</f>
        <v>23000</v>
      </c>
      <c r="K77" s="106">
        <v>43130</v>
      </c>
    </row>
    <row r="78" spans="1:11" x14ac:dyDescent="0.3">
      <c r="A78" s="48" t="s">
        <v>438</v>
      </c>
      <c r="B78" s="1" t="s">
        <v>241</v>
      </c>
      <c r="C78" s="107" t="s">
        <v>42</v>
      </c>
      <c r="D78" s="41"/>
      <c r="E78" s="5" t="s">
        <v>5</v>
      </c>
      <c r="F78" s="6"/>
      <c r="G78" s="7">
        <v>43137</v>
      </c>
      <c r="H78" s="9">
        <v>100</v>
      </c>
      <c r="I78" s="8">
        <v>230</v>
      </c>
      <c r="J78" s="8">
        <f>+H78*I78</f>
        <v>23000</v>
      </c>
      <c r="K78" s="106">
        <v>43130</v>
      </c>
    </row>
    <row r="79" spans="1:11" ht="18" x14ac:dyDescent="0.35">
      <c r="A79" s="531" t="s">
        <v>91</v>
      </c>
      <c r="B79" s="532"/>
      <c r="C79" s="13"/>
      <c r="D79" s="72"/>
      <c r="E79" s="13"/>
      <c r="F79" s="13"/>
      <c r="G79" s="13"/>
      <c r="H79" s="13"/>
      <c r="I79" s="13"/>
      <c r="J79" s="13"/>
      <c r="K79" s="14"/>
    </row>
    <row r="80" spans="1:11" x14ac:dyDescent="0.3">
      <c r="A80" s="49"/>
      <c r="B80" s="17" t="s">
        <v>76</v>
      </c>
      <c r="C80" s="37" t="s">
        <v>42</v>
      </c>
      <c r="D80" s="73"/>
      <c r="E80" s="37"/>
      <c r="F80" s="37"/>
      <c r="G80" s="37"/>
      <c r="H80" s="18"/>
      <c r="I80" s="18"/>
      <c r="J80" s="18"/>
      <c r="K80" s="19"/>
    </row>
    <row r="81" spans="1:11" x14ac:dyDescent="0.3">
      <c r="A81" s="49"/>
      <c r="B81" s="17" t="s">
        <v>78</v>
      </c>
      <c r="C81" s="37" t="s">
        <v>119</v>
      </c>
      <c r="D81" s="73"/>
      <c r="E81" s="37"/>
      <c r="F81" s="37"/>
      <c r="G81" s="37"/>
      <c r="H81" s="18"/>
      <c r="I81" s="18"/>
      <c r="J81" s="18"/>
      <c r="K81" s="19"/>
    </row>
    <row r="82" spans="1:11" x14ac:dyDescent="0.3">
      <c r="A82" s="49"/>
      <c r="B82" s="17" t="s">
        <v>81</v>
      </c>
      <c r="C82" s="37" t="s">
        <v>117</v>
      </c>
      <c r="D82" s="73"/>
      <c r="E82" s="37"/>
      <c r="F82" s="37"/>
      <c r="G82" s="37"/>
      <c r="H82" s="18"/>
      <c r="I82" s="18"/>
      <c r="J82" s="18"/>
      <c r="K82" s="19"/>
    </row>
    <row r="83" spans="1:11" x14ac:dyDescent="0.3">
      <c r="A83" s="49"/>
      <c r="B83" s="17" t="s">
        <v>98</v>
      </c>
      <c r="C83" s="44" t="s">
        <v>118</v>
      </c>
      <c r="D83" s="73"/>
      <c r="E83" s="37"/>
      <c r="F83" s="37"/>
      <c r="G83" s="37"/>
      <c r="H83" s="18"/>
      <c r="I83" s="18"/>
      <c r="J83" s="18"/>
      <c r="K83" s="19"/>
    </row>
    <row r="84" spans="1:11" x14ac:dyDescent="0.3">
      <c r="A84" s="49"/>
      <c r="B84" s="17" t="s">
        <v>83</v>
      </c>
      <c r="C84" s="37" t="s">
        <v>116</v>
      </c>
      <c r="D84" s="73"/>
      <c r="E84" s="37"/>
      <c r="F84" s="37"/>
      <c r="G84" s="37"/>
      <c r="H84" s="18"/>
      <c r="I84" s="18"/>
      <c r="J84" s="18"/>
      <c r="K84" s="19"/>
    </row>
    <row r="85" spans="1:11" x14ac:dyDescent="0.3">
      <c r="A85" s="49"/>
      <c r="B85" s="17" t="s">
        <v>84</v>
      </c>
      <c r="C85" s="37" t="s">
        <v>114</v>
      </c>
      <c r="D85" s="73"/>
      <c r="E85" s="37"/>
      <c r="F85" s="37"/>
      <c r="G85" s="37"/>
      <c r="H85" s="18"/>
      <c r="I85" s="18"/>
      <c r="J85" s="18"/>
      <c r="K85" s="19"/>
    </row>
    <row r="86" spans="1:11" x14ac:dyDescent="0.3">
      <c r="A86" s="49"/>
      <c r="B86" s="17" t="s">
        <v>85</v>
      </c>
      <c r="C86" s="37" t="s">
        <v>115</v>
      </c>
      <c r="D86" s="73"/>
      <c r="E86" s="37"/>
      <c r="F86" s="37"/>
      <c r="G86" s="37"/>
      <c r="H86" s="18"/>
      <c r="I86" s="18"/>
      <c r="J86" s="18"/>
      <c r="K86" s="19"/>
    </row>
    <row r="87" spans="1:11" x14ac:dyDescent="0.3">
      <c r="A87" s="50"/>
      <c r="B87" s="21"/>
      <c r="C87" s="21"/>
      <c r="D87" s="74"/>
      <c r="E87" s="21"/>
      <c r="F87" s="21"/>
      <c r="G87" s="21"/>
      <c r="H87" s="22"/>
      <c r="I87" s="22"/>
      <c r="J87" s="22"/>
      <c r="K87" s="23"/>
    </row>
  </sheetData>
  <mergeCells count="9">
    <mergeCell ref="A58:B58"/>
    <mergeCell ref="A69:B69"/>
    <mergeCell ref="A79:B79"/>
    <mergeCell ref="A50:B50"/>
    <mergeCell ref="L1:P1"/>
    <mergeCell ref="A4:B4"/>
    <mergeCell ref="A40:B40"/>
    <mergeCell ref="A27:B27"/>
    <mergeCell ref="A14:B14"/>
  </mergeCells>
  <conditionalFormatting sqref="G3">
    <cfRule type="cellIs" dxfId="1758" priority="41" operator="between">
      <formula>TODAY()</formula>
      <formula>TODAY()+10</formula>
    </cfRule>
  </conditionalFormatting>
  <conditionalFormatting sqref="G3">
    <cfRule type="cellIs" dxfId="1757" priority="40" operator="between">
      <formula>TODAY()</formula>
      <formula>TODAY()+10</formula>
    </cfRule>
  </conditionalFormatting>
  <conditionalFormatting sqref="G38">
    <cfRule type="cellIs" dxfId="1756" priority="38" operator="between">
      <formula>TODAY()</formula>
      <formula>TODAY()+10</formula>
    </cfRule>
  </conditionalFormatting>
  <conditionalFormatting sqref="G38">
    <cfRule type="cellIs" dxfId="1755" priority="39" operator="between">
      <formula>TODAY()</formula>
      <formula>TODAY()+10</formula>
    </cfRule>
  </conditionalFormatting>
  <conditionalFormatting sqref="G13">
    <cfRule type="cellIs" dxfId="1754" priority="22" operator="between">
      <formula>TODAY()</formula>
      <formula>TODAY()+10</formula>
    </cfRule>
  </conditionalFormatting>
  <conditionalFormatting sqref="G13">
    <cfRule type="cellIs" dxfId="1753" priority="23" operator="between">
      <formula>TODAY()</formula>
      <formula>TODAY()+10</formula>
    </cfRule>
  </conditionalFormatting>
  <conditionalFormatting sqref="G25:G26">
    <cfRule type="cellIs" dxfId="1752" priority="18" operator="between">
      <formula>TODAY()</formula>
      <formula>TODAY()+10</formula>
    </cfRule>
  </conditionalFormatting>
  <conditionalFormatting sqref="G25:G26">
    <cfRule type="cellIs" dxfId="1751" priority="19" operator="between">
      <formula>TODAY()</formula>
      <formula>TODAY()+10</formula>
    </cfRule>
  </conditionalFormatting>
  <conditionalFormatting sqref="G57">
    <cfRule type="cellIs" dxfId="1750" priority="15" operator="between">
      <formula>TODAY()</formula>
      <formula>TODAY()+10</formula>
    </cfRule>
  </conditionalFormatting>
  <conditionalFormatting sqref="G57">
    <cfRule type="cellIs" dxfId="1749" priority="14" operator="between">
      <formula>TODAY()</formula>
      <formula>TODAY()+10</formula>
    </cfRule>
  </conditionalFormatting>
  <conditionalFormatting sqref="G49">
    <cfRule type="cellIs" dxfId="1748" priority="13" operator="between">
      <formula>TODAY()</formula>
      <formula>TODAY()+10</formula>
    </cfRule>
  </conditionalFormatting>
  <conditionalFormatting sqref="G49">
    <cfRule type="cellIs" dxfId="1747" priority="12" operator="between">
      <formula>TODAY()</formula>
      <formula>TODAY()+10</formula>
    </cfRule>
  </conditionalFormatting>
  <conditionalFormatting sqref="G66:G68">
    <cfRule type="cellIs" dxfId="1746" priority="10" operator="between">
      <formula>TODAY()</formula>
      <formula>TODAY()+10</formula>
    </cfRule>
  </conditionalFormatting>
  <conditionalFormatting sqref="G66:G68">
    <cfRule type="cellIs" dxfId="1745" priority="9" operator="between">
      <formula>TODAY()</formula>
      <formula>TODAY()+10</formula>
    </cfRule>
  </conditionalFormatting>
  <conditionalFormatting sqref="G77:G78">
    <cfRule type="cellIs" dxfId="1744" priority="4" operator="between">
      <formula>TODAY()</formula>
      <formula>TODAY()+10</formula>
    </cfRule>
  </conditionalFormatting>
  <conditionalFormatting sqref="G77:G78">
    <cfRule type="cellIs" dxfId="1743" priority="3" operator="between">
      <formula>TODAY()</formula>
      <formula>TODAY()+10</formula>
    </cfRule>
  </conditionalFormatting>
  <conditionalFormatting sqref="G39">
    <cfRule type="cellIs" dxfId="1742" priority="1" operator="between">
      <formula>TODAY()</formula>
      <formula>TODAY()+10</formula>
    </cfRule>
  </conditionalFormatting>
  <conditionalFormatting sqref="G39">
    <cfRule type="cellIs" dxfId="1741" priority="2" operator="between">
      <formula>TODAY()</formula>
      <formula>TODAY()+10</formula>
    </cfRule>
  </conditionalFormatting>
  <dataValidations count="4">
    <dataValidation type="list" allowBlank="1" showInputMessage="1" showErrorMessage="1" sqref="F3 F49 F38:F47 F55 F36 F11 F13:F24 F58:F64 F66:F75 F77:F87">
      <formula1>PLAZOdePAGO2</formula1>
    </dataValidation>
    <dataValidation type="list" allowBlank="1" showInputMessage="1" showErrorMessage="1" sqref="E3 E49 E38:E47 E55 E36 E11 E13:E24 E58:E64 E66:E75 E77:E87">
      <formula1>PLAZOdePAGO</formula1>
    </dataValidation>
    <dataValidation type="list" allowBlank="1" showInputMessage="1" showErrorMessage="1" sqref="C3 C49 C38:C39 C77:C78 C57 C66:C68 C13:C14 C17:C24">
      <formula1>PROVEEDORES</formula1>
    </dataValidation>
    <dataValidation type="list" allowBlank="1" showInputMessage="1" showErrorMessage="1" sqref="B3 B49 B38:B39 B77:B78 B57 B66:B68 B13 B24">
      <formula1>MATERIALES</formula1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F11" sqref="F11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1" width="11.44140625" style="10"/>
    <col min="12" max="12" width="4.44140625" style="10" bestFit="1" customWidth="1"/>
    <col min="13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4.5" customHeight="1" x14ac:dyDescent="0.25">
      <c r="A2" s="130"/>
      <c r="B2" s="131"/>
      <c r="C2" s="131"/>
      <c r="D2" s="132"/>
      <c r="E2" s="133"/>
      <c r="F2" s="133"/>
      <c r="G2" s="133"/>
      <c r="H2" s="134"/>
      <c r="I2" s="134"/>
      <c r="J2" s="134"/>
      <c r="K2" s="135"/>
    </row>
    <row r="3" spans="1:16" x14ac:dyDescent="0.3">
      <c r="A3" s="48" t="s">
        <v>143</v>
      </c>
      <c r="B3" s="1" t="s">
        <v>6</v>
      </c>
      <c r="C3" s="107" t="s">
        <v>7</v>
      </c>
      <c r="D3" s="41" t="s">
        <v>450</v>
      </c>
      <c r="E3" s="5">
        <v>90</v>
      </c>
      <c r="F3" s="6" t="s">
        <v>20</v>
      </c>
      <c r="G3" s="7">
        <f>+K3+90</f>
        <v>43129</v>
      </c>
      <c r="H3" s="9">
        <v>250</v>
      </c>
      <c r="I3" s="8">
        <v>505</v>
      </c>
      <c r="J3" s="8">
        <f>+I3*H3</f>
        <v>126250</v>
      </c>
      <c r="K3" s="106">
        <v>43039</v>
      </c>
      <c r="L3" s="69" t="s">
        <v>499</v>
      </c>
      <c r="N3" s="10" t="s">
        <v>642</v>
      </c>
    </row>
    <row r="4" spans="1:16" x14ac:dyDescent="0.3">
      <c r="A4" s="48" t="s">
        <v>451</v>
      </c>
      <c r="B4" s="1" t="s">
        <v>6</v>
      </c>
      <c r="C4" s="107" t="s">
        <v>7</v>
      </c>
      <c r="D4" s="41" t="s">
        <v>497</v>
      </c>
      <c r="E4" s="5">
        <v>90</v>
      </c>
      <c r="F4" s="6" t="s">
        <v>20</v>
      </c>
      <c r="G4" s="7">
        <v>43138</v>
      </c>
      <c r="H4" s="9">
        <v>250</v>
      </c>
      <c r="I4" s="8">
        <v>505</v>
      </c>
      <c r="J4" s="8">
        <f>+I4*H4</f>
        <v>126250</v>
      </c>
      <c r="K4" s="106">
        <v>43046</v>
      </c>
      <c r="L4" s="69" t="s">
        <v>499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 t="s">
        <v>92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37" t="s">
        <v>627</v>
      </c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45" t="s">
        <v>410</v>
      </c>
      <c r="D8" s="73"/>
      <c r="E8" s="37"/>
      <c r="F8" s="37"/>
      <c r="G8" s="37"/>
      <c r="H8" s="18"/>
      <c r="I8" s="18"/>
      <c r="J8" s="18"/>
      <c r="K8" s="19"/>
      <c r="L8" s="108"/>
    </row>
    <row r="9" spans="1:16" x14ac:dyDescent="0.3">
      <c r="A9" s="49"/>
      <c r="B9" s="17" t="s">
        <v>81</v>
      </c>
      <c r="C9" s="45" t="s">
        <v>424</v>
      </c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49"/>
      <c r="B10" s="17" t="s">
        <v>169</v>
      </c>
      <c r="C10" s="45" t="s">
        <v>412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5" t="s">
        <v>104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165</v>
      </c>
      <c r="C12" s="45" t="s">
        <v>107</v>
      </c>
      <c r="D12" s="73"/>
      <c r="E12" s="37"/>
      <c r="F12" s="37"/>
      <c r="G12" s="37"/>
      <c r="H12" s="18"/>
      <c r="I12" s="18"/>
      <c r="J12" s="18"/>
      <c r="K12" s="19"/>
      <c r="L12" s="108"/>
    </row>
    <row r="13" spans="1:16" x14ac:dyDescent="0.3">
      <c r="A13" s="49"/>
      <c r="B13" s="17" t="s">
        <v>85</v>
      </c>
      <c r="C13" s="45" t="s">
        <v>108</v>
      </c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21"/>
      <c r="D14" s="74"/>
      <c r="E14" s="21"/>
      <c r="F14" s="21"/>
      <c r="G14" s="21"/>
      <c r="H14" s="22"/>
      <c r="I14" s="22"/>
      <c r="J14" s="22"/>
      <c r="K14" s="23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5" x14ac:dyDescent="0.25">
      <c r="A16" s="48" t="s">
        <v>586</v>
      </c>
      <c r="B16" s="1" t="s">
        <v>6</v>
      </c>
      <c r="C16" s="107" t="s">
        <v>17</v>
      </c>
      <c r="D16" s="41"/>
      <c r="E16" s="5" t="s">
        <v>5</v>
      </c>
      <c r="F16" s="6"/>
      <c r="G16" s="7">
        <v>43139</v>
      </c>
      <c r="H16" s="9">
        <v>150</v>
      </c>
      <c r="I16" s="8">
        <v>526</v>
      </c>
      <c r="J16" s="8">
        <f>+I16*H16*L16</f>
        <v>55230</v>
      </c>
      <c r="K16" s="106">
        <v>43141</v>
      </c>
      <c r="L16" s="10">
        <v>0.7</v>
      </c>
    </row>
    <row r="17" spans="1:12" ht="15" x14ac:dyDescent="0.25">
      <c r="A17" s="48" t="s">
        <v>604</v>
      </c>
      <c r="B17" s="1" t="s">
        <v>6</v>
      </c>
      <c r="C17" s="107" t="s">
        <v>17</v>
      </c>
      <c r="D17" s="41"/>
      <c r="E17" s="5" t="s">
        <v>5</v>
      </c>
      <c r="F17" s="6"/>
      <c r="G17" s="7">
        <v>43139</v>
      </c>
      <c r="H17" s="9">
        <v>500</v>
      </c>
      <c r="I17" s="8">
        <v>501</v>
      </c>
      <c r="J17" s="8">
        <f>+H17*I17*L17</f>
        <v>175350</v>
      </c>
      <c r="K17" s="106">
        <v>43141</v>
      </c>
      <c r="L17" s="10">
        <v>0.7</v>
      </c>
    </row>
    <row r="18" spans="1:12" ht="18.75" x14ac:dyDescent="0.3">
      <c r="A18" s="531" t="s">
        <v>91</v>
      </c>
      <c r="B18" s="532"/>
      <c r="C18" s="13"/>
      <c r="D18" s="72"/>
      <c r="E18" s="13"/>
      <c r="F18" s="13"/>
      <c r="G18" s="13"/>
      <c r="H18" s="13"/>
      <c r="I18" s="13"/>
      <c r="J18" s="13"/>
      <c r="K18" s="14"/>
    </row>
    <row r="19" spans="1:12" x14ac:dyDescent="0.3">
      <c r="A19" s="49"/>
      <c r="B19" s="17" t="s">
        <v>76</v>
      </c>
      <c r="C19" s="37" t="s">
        <v>17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83</v>
      </c>
      <c r="C20" s="37" t="s">
        <v>349</v>
      </c>
      <c r="D20" s="73"/>
      <c r="E20" s="37"/>
      <c r="F20" s="37"/>
      <c r="G20" s="37"/>
      <c r="H20" s="18"/>
      <c r="I20" s="59"/>
      <c r="J20" s="18"/>
      <c r="K20" s="19"/>
    </row>
    <row r="21" spans="1:12" x14ac:dyDescent="0.3">
      <c r="A21" s="49"/>
      <c r="B21" s="17" t="s">
        <v>81</v>
      </c>
      <c r="C21" s="37" t="s">
        <v>345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56" t="s">
        <v>98</v>
      </c>
      <c r="C22" s="44" t="s">
        <v>346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84</v>
      </c>
      <c r="C23" s="44" t="s">
        <v>347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85</v>
      </c>
      <c r="C24" s="44" t="s">
        <v>348</v>
      </c>
      <c r="D24" s="73"/>
      <c r="E24" s="37"/>
      <c r="F24" s="37"/>
      <c r="G24" s="37"/>
      <c r="H24" s="18"/>
      <c r="I24" s="18"/>
      <c r="J24" s="18"/>
      <c r="K24" s="19"/>
    </row>
    <row r="25" spans="1:12" ht="15" x14ac:dyDescent="0.25">
      <c r="A25" s="50"/>
      <c r="B25" s="21"/>
      <c r="C25" s="21"/>
      <c r="D25" s="74"/>
      <c r="E25" s="21"/>
      <c r="F25" s="21"/>
      <c r="G25" s="21"/>
      <c r="H25" s="22"/>
      <c r="I25" s="22"/>
      <c r="J25" s="22"/>
      <c r="K25" s="23"/>
    </row>
  </sheetData>
  <mergeCells count="3">
    <mergeCell ref="L1:P1"/>
    <mergeCell ref="A5:B5"/>
    <mergeCell ref="A18:B18"/>
  </mergeCells>
  <conditionalFormatting sqref="G3:G4">
    <cfRule type="cellIs" dxfId="1740" priority="15" operator="between">
      <formula>TODAY()</formula>
      <formula>TODAY()+10</formula>
    </cfRule>
  </conditionalFormatting>
  <conditionalFormatting sqref="G3:G4">
    <cfRule type="cellIs" dxfId="1739" priority="16" operator="between">
      <formula>TODAY()</formula>
      <formula>TODAY()+10</formula>
    </cfRule>
  </conditionalFormatting>
  <conditionalFormatting sqref="G16">
    <cfRule type="cellIs" dxfId="1738" priority="3" operator="between">
      <formula>TODAY()</formula>
      <formula>TODAY()+10</formula>
    </cfRule>
  </conditionalFormatting>
  <conditionalFormatting sqref="G16">
    <cfRule type="cellIs" dxfId="1737" priority="4" operator="between">
      <formula>TODAY()</formula>
      <formula>TODAY()+10</formula>
    </cfRule>
  </conditionalFormatting>
  <conditionalFormatting sqref="G17">
    <cfRule type="cellIs" dxfId="1736" priority="2" operator="between">
      <formula>TODAY()</formula>
      <formula>TODAY()+10</formula>
    </cfRule>
  </conditionalFormatting>
  <conditionalFormatting sqref="G17">
    <cfRule type="cellIs" dxfId="1735" priority="1" operator="between">
      <formula>TODAY()</formula>
      <formula>TODAY()+10</formula>
    </cfRule>
  </conditionalFormatting>
  <dataValidations count="4">
    <dataValidation type="list" allowBlank="1" showInputMessage="1" showErrorMessage="1" sqref="B16:B17 B2">
      <formula1>MATERIALES</formula1>
    </dataValidation>
    <dataValidation type="list" allowBlank="1" showInputMessage="1" showErrorMessage="1" sqref="C16:C17 C2">
      <formula1>PROVEEDORES</formula1>
    </dataValidation>
    <dataValidation type="list" allowBlank="1" showInputMessage="1" showErrorMessage="1" sqref="E14 E16:E25 E2">
      <formula1>PLAZOdePAGO</formula1>
    </dataValidation>
    <dataValidation type="list" allowBlank="1" showInputMessage="1" showErrorMessage="1" sqref="F14 F16:F25 F2">
      <formula1>PLAZOdePAGO2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showGridLines="0" workbookViewId="0">
      <selection activeCell="D21" sqref="D21"/>
    </sheetView>
  </sheetViews>
  <sheetFormatPr baseColWidth="10" defaultColWidth="11.44140625" defaultRowHeight="14.4" x14ac:dyDescent="0.3"/>
  <cols>
    <col min="1" max="1" width="11.44140625" style="10"/>
    <col min="2" max="2" width="27" style="10" bestFit="1" customWidth="1"/>
    <col min="3" max="3" width="15.44140625" style="10" bestFit="1" customWidth="1"/>
    <col min="4" max="4" width="12.44140625" style="10" customWidth="1"/>
    <col min="5" max="5" width="4.44140625" style="10" bestFit="1" customWidth="1"/>
    <col min="6" max="9" width="11.44140625" style="10"/>
    <col min="10" max="10" width="12.5546875" style="10" bestFit="1" customWidth="1"/>
    <col min="11" max="11" width="11.44140625" style="10"/>
    <col min="12" max="12" width="4.44140625" style="10" bestFit="1" customWidth="1"/>
    <col min="13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654</v>
      </c>
      <c r="B3" s="1" t="s">
        <v>4</v>
      </c>
      <c r="C3" s="107" t="s">
        <v>17</v>
      </c>
      <c r="D3" s="41"/>
      <c r="E3" s="5" t="s">
        <v>5</v>
      </c>
      <c r="F3" s="6"/>
      <c r="G3" s="7">
        <v>43147</v>
      </c>
      <c r="H3" s="9">
        <v>408</v>
      </c>
      <c r="I3" s="8">
        <v>498</v>
      </c>
      <c r="J3" s="8">
        <v>203184</v>
      </c>
      <c r="K3" s="106" t="s">
        <v>670</v>
      </c>
      <c r="L3" s="10" t="s">
        <v>671</v>
      </c>
    </row>
    <row r="4" spans="1:16" ht="15" x14ac:dyDescent="0.25">
      <c r="A4" s="48" t="s">
        <v>655</v>
      </c>
      <c r="B4" s="1" t="s">
        <v>4</v>
      </c>
      <c r="C4" s="107" t="s">
        <v>17</v>
      </c>
      <c r="D4" s="41"/>
      <c r="E4" s="5" t="s">
        <v>5</v>
      </c>
      <c r="F4" s="6"/>
      <c r="G4" s="7">
        <v>43147</v>
      </c>
      <c r="H4" s="9">
        <v>408</v>
      </c>
      <c r="I4" s="8">
        <v>508</v>
      </c>
      <c r="J4" s="8">
        <v>207264</v>
      </c>
      <c r="K4" s="106" t="s">
        <v>670</v>
      </c>
      <c r="L4" s="10" t="s">
        <v>671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 t="s">
        <v>17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83</v>
      </c>
      <c r="C7" s="37" t="s">
        <v>349</v>
      </c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17" t="s">
        <v>81</v>
      </c>
      <c r="C8" s="37" t="s">
        <v>345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56" t="s">
        <v>98</v>
      </c>
      <c r="C9" s="44" t="s">
        <v>346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84</v>
      </c>
      <c r="C10" s="44" t="s">
        <v>347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4" t="s">
        <v>348</v>
      </c>
      <c r="D11" s="73"/>
      <c r="E11" s="37"/>
      <c r="F11" s="37"/>
      <c r="G11" s="37"/>
      <c r="H11" s="18"/>
      <c r="I11" s="18"/>
      <c r="J11" s="18"/>
      <c r="K11" s="19"/>
    </row>
    <row r="12" spans="1:16" ht="15" x14ac:dyDescent="0.25">
      <c r="A12" s="50"/>
      <c r="B12" s="21"/>
      <c r="C12" s="21"/>
      <c r="D12" s="74"/>
      <c r="E12" s="21"/>
      <c r="F12" s="21"/>
      <c r="G12" s="21"/>
      <c r="H12" s="22"/>
      <c r="I12" s="22"/>
      <c r="J12" s="22"/>
      <c r="K12" s="23"/>
    </row>
  </sheetData>
  <mergeCells count="2">
    <mergeCell ref="L1:P1"/>
    <mergeCell ref="A5:B5"/>
  </mergeCells>
  <conditionalFormatting sqref="G3:G4">
    <cfRule type="cellIs" dxfId="1734" priority="3" operator="between">
      <formula>TODAY()</formula>
      <formula>TODAY()+10</formula>
    </cfRule>
  </conditionalFormatting>
  <conditionalFormatting sqref="G3:G4">
    <cfRule type="cellIs" dxfId="1733" priority="4" operator="between">
      <formula>TODAY()</formula>
      <formula>TODAY()+10</formula>
    </cfRule>
  </conditionalFormatting>
  <dataValidations count="4">
    <dataValidation type="list" allowBlank="1" showInputMessage="1" showErrorMessage="1" sqref="F3:F12">
      <formula1>PLAZOdePAGO2</formula1>
    </dataValidation>
    <dataValidation type="list" allowBlank="1" showInputMessage="1" showErrorMessage="1" sqref="E3:E12">
      <formula1>PLAZOdePAGO</formula1>
    </dataValidation>
    <dataValidation type="list" allowBlank="1" showInputMessage="1" showErrorMessage="1" sqref="C3:C4">
      <formula1>PROVEEDORES</formula1>
    </dataValidation>
    <dataValidation type="list" allowBlank="1" showInputMessage="1" showErrorMessage="1" sqref="B3:B4">
      <formula1>MATERIALES</formula1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showGridLines="0" workbookViewId="0">
      <selection activeCell="L6" sqref="L6"/>
    </sheetView>
  </sheetViews>
  <sheetFormatPr baseColWidth="10" defaultRowHeight="14.4" x14ac:dyDescent="0.3"/>
  <cols>
    <col min="5" max="5" width="4.44140625" bestFit="1" customWidth="1"/>
  </cols>
  <sheetData>
    <row r="1" spans="1:16" s="10" customFormat="1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s="10" customFormat="1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s="10" customFormat="1" ht="15" x14ac:dyDescent="0.25">
      <c r="A3" s="48" t="s">
        <v>572</v>
      </c>
      <c r="B3" s="1" t="s">
        <v>4</v>
      </c>
      <c r="C3" s="107" t="s">
        <v>245</v>
      </c>
      <c r="D3" s="41"/>
      <c r="E3" s="5" t="s">
        <v>5</v>
      </c>
      <c r="F3" s="6"/>
      <c r="G3" s="7">
        <v>43150</v>
      </c>
      <c r="H3" s="9">
        <v>504.14</v>
      </c>
      <c r="I3" s="8">
        <v>510</v>
      </c>
      <c r="J3" s="8">
        <f>+I3*H3</f>
        <v>257111.4</v>
      </c>
      <c r="K3" s="106"/>
      <c r="L3" s="10" t="s">
        <v>406</v>
      </c>
    </row>
    <row r="4" spans="1:16" s="10" customFormat="1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s="10" customFormat="1" x14ac:dyDescent="0.3">
      <c r="A5" s="49"/>
      <c r="B5" s="17" t="s">
        <v>76</v>
      </c>
      <c r="C5" s="37" t="s">
        <v>303</v>
      </c>
      <c r="D5" s="73"/>
      <c r="E5" s="37"/>
      <c r="F5" s="37"/>
      <c r="G5" s="37"/>
      <c r="H5" s="18"/>
      <c r="I5" s="18"/>
      <c r="J5" s="18"/>
      <c r="K5" s="19"/>
    </row>
    <row r="6" spans="1:16" s="10" customFormat="1" x14ac:dyDescent="0.3">
      <c r="A6" s="49"/>
      <c r="B6" s="17" t="s">
        <v>78</v>
      </c>
      <c r="C6" s="37" t="s">
        <v>304</v>
      </c>
      <c r="D6" s="73"/>
      <c r="E6" s="37"/>
      <c r="F6" s="37"/>
      <c r="G6" s="37"/>
      <c r="H6" s="18"/>
      <c r="I6" s="59"/>
      <c r="J6" s="18"/>
      <c r="K6" s="19"/>
    </row>
    <row r="7" spans="1:16" s="10" customFormat="1" x14ac:dyDescent="0.3">
      <c r="A7" s="49"/>
      <c r="B7" s="56" t="s">
        <v>98</v>
      </c>
      <c r="C7" s="45" t="s">
        <v>305</v>
      </c>
      <c r="D7" s="73"/>
      <c r="E7" s="37"/>
      <c r="F7" s="37"/>
      <c r="G7" s="37"/>
      <c r="H7" s="18"/>
      <c r="I7" s="18"/>
      <c r="J7" s="18"/>
      <c r="K7" s="19"/>
    </row>
    <row r="8" spans="1:16" s="10" customFormat="1" ht="15" x14ac:dyDescent="0.25">
      <c r="A8" s="49"/>
      <c r="B8" s="17" t="s">
        <v>169</v>
      </c>
      <c r="C8" s="17" t="s">
        <v>300</v>
      </c>
      <c r="D8" s="73"/>
      <c r="E8" s="37"/>
      <c r="F8" s="37"/>
      <c r="G8" s="37"/>
      <c r="H8" s="18"/>
      <c r="I8" s="18"/>
      <c r="J8" s="18"/>
      <c r="K8" s="19"/>
    </row>
    <row r="9" spans="1:16" s="10" customFormat="1" x14ac:dyDescent="0.3">
      <c r="A9" s="49"/>
      <c r="B9" s="17" t="s">
        <v>85</v>
      </c>
      <c r="C9" s="44" t="s">
        <v>301</v>
      </c>
      <c r="D9" s="73"/>
      <c r="E9" s="37"/>
      <c r="F9" s="37"/>
      <c r="G9" s="37"/>
      <c r="H9" s="18"/>
      <c r="I9" s="18"/>
      <c r="J9" s="18"/>
      <c r="K9" s="19"/>
    </row>
    <row r="10" spans="1:16" s="10" customFormat="1" x14ac:dyDescent="0.3">
      <c r="A10" s="49"/>
      <c r="B10" s="17" t="s">
        <v>81</v>
      </c>
      <c r="C10" s="45" t="s">
        <v>302</v>
      </c>
      <c r="D10" s="73"/>
      <c r="E10" s="37"/>
      <c r="F10" s="37"/>
      <c r="G10" s="37"/>
      <c r="H10" s="18"/>
      <c r="I10" s="18"/>
      <c r="J10" s="18"/>
      <c r="K10" s="19"/>
    </row>
    <row r="11" spans="1:16" s="10" customFormat="1" ht="13.5" customHeight="1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s="10" customFormat="1" ht="3.75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s="10" customFormat="1" x14ac:dyDescent="0.3">
      <c r="A13" s="48" t="s">
        <v>485</v>
      </c>
      <c r="B13" s="1" t="s">
        <v>12</v>
      </c>
      <c r="C13" s="107" t="s">
        <v>280</v>
      </c>
      <c r="D13" s="41"/>
      <c r="E13" s="5">
        <v>60</v>
      </c>
      <c r="F13" s="6" t="s">
        <v>20</v>
      </c>
      <c r="G13" s="7">
        <v>43150</v>
      </c>
      <c r="H13" s="9">
        <v>900</v>
      </c>
      <c r="I13" s="8">
        <v>146</v>
      </c>
      <c r="J13" s="8">
        <f>+I13*H13</f>
        <v>131400</v>
      </c>
      <c r="K13" s="106"/>
      <c r="L13" s="10" t="s">
        <v>406</v>
      </c>
    </row>
    <row r="14" spans="1:16" s="10" customFormat="1" ht="18.75" x14ac:dyDescent="0.3">
      <c r="A14" s="531" t="s">
        <v>91</v>
      </c>
      <c r="B14" s="532"/>
      <c r="C14" s="13"/>
      <c r="D14" s="72"/>
      <c r="E14" s="13"/>
      <c r="F14" s="13"/>
      <c r="G14" s="13"/>
      <c r="H14" s="13"/>
      <c r="I14" s="13"/>
      <c r="J14" s="13"/>
      <c r="K14" s="14"/>
    </row>
    <row r="15" spans="1:16" s="10" customFormat="1" x14ac:dyDescent="0.3">
      <c r="A15" s="49"/>
      <c r="B15" s="17" t="s">
        <v>76</v>
      </c>
      <c r="C15" s="37" t="s">
        <v>489</v>
      </c>
      <c r="D15" s="73"/>
      <c r="E15" s="37"/>
      <c r="F15" s="37"/>
      <c r="G15" s="37"/>
      <c r="H15" s="18"/>
      <c r="I15" s="18"/>
      <c r="J15" s="18"/>
      <c r="K15" s="19"/>
    </row>
    <row r="16" spans="1:16" s="10" customFormat="1" x14ac:dyDescent="0.3">
      <c r="A16" s="49"/>
      <c r="B16" s="56" t="s">
        <v>98</v>
      </c>
      <c r="C16" s="37" t="s">
        <v>490</v>
      </c>
      <c r="D16" s="73"/>
      <c r="E16" s="37"/>
      <c r="F16" s="37"/>
      <c r="G16" s="37"/>
      <c r="H16" s="18"/>
      <c r="I16" s="18"/>
      <c r="J16" s="18"/>
      <c r="K16" s="19"/>
    </row>
    <row r="17" spans="1:12" s="10" customFormat="1" x14ac:dyDescent="0.3">
      <c r="A17" s="49"/>
      <c r="B17" s="17" t="s">
        <v>491</v>
      </c>
      <c r="C17" s="44" t="s">
        <v>492</v>
      </c>
      <c r="D17" s="73"/>
      <c r="E17" s="37"/>
      <c r="F17" s="37"/>
      <c r="G17" s="37"/>
      <c r="H17" s="18"/>
      <c r="I17" s="18"/>
      <c r="J17" s="18"/>
      <c r="K17" s="19"/>
    </row>
    <row r="18" spans="1:12" s="10" customFormat="1" x14ac:dyDescent="0.3">
      <c r="A18" s="49"/>
      <c r="B18" s="17" t="s">
        <v>85</v>
      </c>
      <c r="C18" s="37" t="s">
        <v>493</v>
      </c>
      <c r="D18" s="73"/>
      <c r="E18" s="37"/>
      <c r="F18" s="37"/>
      <c r="G18" s="37"/>
      <c r="H18" s="18"/>
      <c r="I18" s="18"/>
      <c r="J18" s="18"/>
      <c r="K18" s="19"/>
    </row>
    <row r="19" spans="1:12" s="10" customFormat="1" ht="15" x14ac:dyDescent="0.25">
      <c r="A19" s="50"/>
      <c r="B19" s="21"/>
      <c r="C19" s="21"/>
      <c r="D19" s="74"/>
      <c r="E19" s="21"/>
      <c r="F19" s="21"/>
      <c r="G19" s="21"/>
      <c r="H19" s="22"/>
      <c r="I19" s="22"/>
      <c r="J19" s="22"/>
      <c r="K19" s="23"/>
    </row>
    <row r="20" spans="1:12" s="10" customFormat="1" ht="3.75" customHeight="1" x14ac:dyDescent="0.25">
      <c r="A20" s="47"/>
      <c r="B20" s="24"/>
      <c r="C20" s="24"/>
      <c r="D20" s="71"/>
      <c r="E20" s="24"/>
      <c r="F20" s="24"/>
      <c r="G20" s="24"/>
      <c r="H20" s="24"/>
      <c r="I20" s="24"/>
      <c r="J20" s="24"/>
      <c r="K20" s="24"/>
    </row>
    <row r="21" spans="1:12" s="10" customFormat="1" x14ac:dyDescent="0.3">
      <c r="A21" s="48" t="s">
        <v>433</v>
      </c>
      <c r="B21" s="1" t="s">
        <v>241</v>
      </c>
      <c r="C21" s="107" t="s">
        <v>42</v>
      </c>
      <c r="D21" s="41">
        <v>300003899</v>
      </c>
      <c r="E21" s="5">
        <v>90</v>
      </c>
      <c r="F21" s="6" t="s">
        <v>20</v>
      </c>
      <c r="G21" s="7">
        <v>43152</v>
      </c>
      <c r="H21" s="9">
        <v>195.68</v>
      </c>
      <c r="I21" s="8">
        <v>230</v>
      </c>
      <c r="J21" s="8">
        <f>+I21*H21</f>
        <v>45006.400000000001</v>
      </c>
      <c r="K21" s="106">
        <v>43064</v>
      </c>
      <c r="L21" s="10" t="s">
        <v>406</v>
      </c>
    </row>
    <row r="22" spans="1:12" s="10" customFormat="1" x14ac:dyDescent="0.3">
      <c r="A22" s="48" t="s">
        <v>434</v>
      </c>
      <c r="B22" s="1" t="s">
        <v>241</v>
      </c>
      <c r="C22" s="107" t="s">
        <v>42</v>
      </c>
      <c r="D22" s="41">
        <v>300003900</v>
      </c>
      <c r="E22" s="5">
        <v>90</v>
      </c>
      <c r="F22" s="6" t="s">
        <v>20</v>
      </c>
      <c r="G22" s="7">
        <v>43152</v>
      </c>
      <c r="H22" s="9">
        <v>195.71</v>
      </c>
      <c r="I22" s="8">
        <v>230</v>
      </c>
      <c r="J22" s="8">
        <f>+I22*H22</f>
        <v>45013.3</v>
      </c>
      <c r="K22" s="106">
        <v>43064</v>
      </c>
      <c r="L22" s="10" t="s">
        <v>406</v>
      </c>
    </row>
    <row r="23" spans="1:12" s="10" customFormat="1" ht="18.75" x14ac:dyDescent="0.3">
      <c r="A23" s="531" t="s">
        <v>91</v>
      </c>
      <c r="B23" s="532"/>
      <c r="C23" s="13"/>
      <c r="D23" s="72"/>
      <c r="E23" s="13"/>
      <c r="F23" s="13"/>
      <c r="G23" s="13"/>
      <c r="H23" s="13"/>
      <c r="I23" s="13"/>
      <c r="J23" s="13"/>
      <c r="K23" s="14"/>
    </row>
    <row r="24" spans="1:12" s="10" customFormat="1" x14ac:dyDescent="0.3">
      <c r="A24" s="49"/>
      <c r="B24" s="17" t="s">
        <v>76</v>
      </c>
      <c r="C24" s="37" t="s">
        <v>42</v>
      </c>
      <c r="D24" s="73"/>
      <c r="E24" s="37"/>
      <c r="F24" s="37"/>
      <c r="G24" s="37"/>
      <c r="H24" s="18"/>
      <c r="I24" s="18"/>
      <c r="J24" s="18"/>
      <c r="K24" s="19"/>
    </row>
    <row r="25" spans="1:12" s="10" customFormat="1" x14ac:dyDescent="0.3">
      <c r="A25" s="49"/>
      <c r="B25" s="17" t="s">
        <v>78</v>
      </c>
      <c r="C25" s="37" t="s">
        <v>119</v>
      </c>
      <c r="D25" s="73"/>
      <c r="E25" s="37"/>
      <c r="F25" s="37"/>
      <c r="G25" s="37"/>
      <c r="H25" s="18"/>
      <c r="I25" s="18"/>
      <c r="J25" s="18"/>
      <c r="K25" s="19"/>
    </row>
    <row r="26" spans="1:12" s="10" customFormat="1" x14ac:dyDescent="0.3">
      <c r="A26" s="49"/>
      <c r="B26" s="17" t="s">
        <v>81</v>
      </c>
      <c r="C26" s="37" t="s">
        <v>117</v>
      </c>
      <c r="D26" s="73"/>
      <c r="E26" s="37"/>
      <c r="F26" s="37"/>
      <c r="G26" s="37"/>
      <c r="H26" s="18"/>
      <c r="I26" s="18"/>
      <c r="J26" s="18"/>
      <c r="K26" s="19"/>
    </row>
    <row r="27" spans="1:12" s="10" customFormat="1" x14ac:dyDescent="0.3">
      <c r="A27" s="49"/>
      <c r="B27" s="17" t="s">
        <v>98</v>
      </c>
      <c r="C27" s="44" t="s">
        <v>674</v>
      </c>
      <c r="D27" s="73"/>
      <c r="E27" s="37"/>
      <c r="F27" s="37"/>
      <c r="G27" s="37"/>
      <c r="H27" s="18"/>
      <c r="I27" s="18"/>
      <c r="J27" s="18"/>
      <c r="K27" s="19"/>
    </row>
    <row r="28" spans="1:12" s="10" customFormat="1" x14ac:dyDescent="0.3">
      <c r="A28" s="49"/>
      <c r="B28" s="17" t="s">
        <v>83</v>
      </c>
      <c r="C28" s="37" t="s">
        <v>116</v>
      </c>
      <c r="D28" s="73"/>
      <c r="E28" s="37"/>
      <c r="F28" s="37"/>
      <c r="G28" s="37"/>
      <c r="H28" s="18"/>
      <c r="I28" s="18"/>
      <c r="J28" s="18"/>
      <c r="K28" s="19"/>
    </row>
    <row r="29" spans="1:12" s="10" customFormat="1" x14ac:dyDescent="0.3">
      <c r="A29" s="49"/>
      <c r="B29" s="17" t="s">
        <v>84</v>
      </c>
      <c r="C29" s="37" t="s">
        <v>114</v>
      </c>
      <c r="D29" s="73"/>
      <c r="E29" s="37"/>
      <c r="F29" s="37"/>
      <c r="G29" s="37"/>
      <c r="H29" s="18"/>
      <c r="I29" s="18"/>
      <c r="J29" s="18"/>
      <c r="K29" s="19"/>
    </row>
    <row r="30" spans="1:12" s="10" customFormat="1" x14ac:dyDescent="0.3">
      <c r="A30" s="49"/>
      <c r="B30" s="17" t="s">
        <v>85</v>
      </c>
      <c r="C30" s="37" t="s">
        <v>115</v>
      </c>
      <c r="D30" s="73"/>
      <c r="E30" s="37"/>
      <c r="F30" s="37"/>
      <c r="G30" s="37"/>
      <c r="H30" s="18"/>
      <c r="I30" s="18"/>
      <c r="J30" s="18"/>
      <c r="K30" s="19"/>
    </row>
    <row r="31" spans="1:12" s="10" customFormat="1" ht="15" x14ac:dyDescent="0.25">
      <c r="A31" s="50"/>
      <c r="B31" s="21"/>
      <c r="C31" s="21"/>
      <c r="D31" s="74"/>
      <c r="E31" s="21"/>
      <c r="F31" s="21"/>
      <c r="G31" s="21"/>
      <c r="H31" s="22"/>
      <c r="I31" s="22"/>
      <c r="J31" s="22"/>
      <c r="K31" s="23"/>
    </row>
    <row r="32" spans="1:12" s="10" customFormat="1" ht="3.75" customHeight="1" x14ac:dyDescent="0.25">
      <c r="A32" s="47"/>
      <c r="B32" s="24"/>
      <c r="C32" s="24"/>
      <c r="D32" s="71"/>
      <c r="E32" s="24"/>
      <c r="F32" s="24"/>
      <c r="G32" s="24"/>
      <c r="H32" s="24"/>
      <c r="I32" s="24"/>
      <c r="J32" s="24"/>
      <c r="K32" s="24"/>
    </row>
    <row r="33" spans="1:12" s="10" customFormat="1" ht="15" x14ac:dyDescent="0.25">
      <c r="A33" s="48" t="s">
        <v>560</v>
      </c>
      <c r="B33" s="1" t="s">
        <v>359</v>
      </c>
      <c r="C33" s="107" t="s">
        <v>7</v>
      </c>
      <c r="D33" s="41">
        <v>20180169</v>
      </c>
      <c r="E33" s="5" t="s">
        <v>5</v>
      </c>
      <c r="F33" s="6"/>
      <c r="G33" s="7">
        <v>43153</v>
      </c>
      <c r="H33" s="9">
        <v>100</v>
      </c>
      <c r="I33" s="8">
        <v>836</v>
      </c>
      <c r="J33" s="8">
        <f>+I33*H33</f>
        <v>83600</v>
      </c>
      <c r="K33" s="106">
        <v>43136</v>
      </c>
      <c r="L33" s="10" t="s">
        <v>406</v>
      </c>
    </row>
    <row r="34" spans="1:12" s="10" customFormat="1" x14ac:dyDescent="0.3">
      <c r="A34" s="48" t="s">
        <v>562</v>
      </c>
      <c r="B34" s="1" t="s">
        <v>359</v>
      </c>
      <c r="C34" s="107" t="s">
        <v>7</v>
      </c>
      <c r="D34" s="41">
        <v>20180170</v>
      </c>
      <c r="E34" s="5" t="s">
        <v>5</v>
      </c>
      <c r="F34" s="6"/>
      <c r="G34" s="7">
        <v>43153</v>
      </c>
      <c r="H34" s="9">
        <v>100</v>
      </c>
      <c r="I34" s="8">
        <v>849</v>
      </c>
      <c r="J34" s="8">
        <f>+I34*H34</f>
        <v>84900</v>
      </c>
      <c r="K34" s="106">
        <v>43136</v>
      </c>
      <c r="L34" s="10" t="s">
        <v>406</v>
      </c>
    </row>
    <row r="35" spans="1:12" s="10" customFormat="1" x14ac:dyDescent="0.3">
      <c r="A35" s="48" t="s">
        <v>563</v>
      </c>
      <c r="B35" s="1" t="s">
        <v>359</v>
      </c>
      <c r="C35" s="107" t="s">
        <v>7</v>
      </c>
      <c r="D35" s="41">
        <v>20180171</v>
      </c>
      <c r="E35" s="5" t="s">
        <v>5</v>
      </c>
      <c r="F35" s="6"/>
      <c r="G35" s="7">
        <v>43153</v>
      </c>
      <c r="H35" s="9">
        <v>100</v>
      </c>
      <c r="I35" s="8">
        <v>854</v>
      </c>
      <c r="J35" s="8">
        <f>+I35*H35</f>
        <v>85400</v>
      </c>
      <c r="K35" s="106">
        <v>43143</v>
      </c>
      <c r="L35" s="10" t="s">
        <v>406</v>
      </c>
    </row>
    <row r="36" spans="1:12" s="10" customFormat="1" ht="18" x14ac:dyDescent="0.35">
      <c r="A36" s="531" t="s">
        <v>91</v>
      </c>
      <c r="B36" s="532"/>
      <c r="C36" s="13"/>
      <c r="D36" s="72"/>
      <c r="E36" s="13"/>
      <c r="F36" s="13"/>
      <c r="G36" s="13"/>
      <c r="H36" s="13"/>
      <c r="I36" s="13"/>
      <c r="J36" s="13"/>
      <c r="K36" s="14"/>
    </row>
    <row r="37" spans="1:12" s="10" customFormat="1" x14ac:dyDescent="0.3">
      <c r="A37" s="49"/>
      <c r="B37" s="17" t="s">
        <v>76</v>
      </c>
      <c r="C37" s="37" t="s">
        <v>92</v>
      </c>
      <c r="D37" s="73"/>
      <c r="E37" s="37"/>
      <c r="F37" s="37"/>
      <c r="G37" s="37"/>
      <c r="H37" s="18"/>
      <c r="I37" s="18"/>
      <c r="J37" s="18"/>
      <c r="K37" s="19"/>
    </row>
    <row r="38" spans="1:12" s="10" customFormat="1" x14ac:dyDescent="0.3">
      <c r="A38" s="49"/>
      <c r="B38" s="17" t="s">
        <v>78</v>
      </c>
      <c r="C38" s="37" t="s">
        <v>627</v>
      </c>
      <c r="D38" s="73"/>
      <c r="E38" s="37"/>
      <c r="F38" s="37"/>
      <c r="G38" s="37"/>
      <c r="H38" s="18"/>
      <c r="I38" s="59"/>
      <c r="J38" s="18"/>
      <c r="K38" s="19"/>
    </row>
    <row r="39" spans="1:12" s="10" customFormat="1" x14ac:dyDescent="0.3">
      <c r="A39" s="49"/>
      <c r="B39" s="56" t="s">
        <v>98</v>
      </c>
      <c r="C39" s="45" t="s">
        <v>645</v>
      </c>
      <c r="D39" s="73"/>
      <c r="E39" s="37"/>
      <c r="F39" s="37"/>
      <c r="G39" s="37"/>
      <c r="H39" s="18"/>
      <c r="I39" s="18"/>
      <c r="J39" s="18"/>
      <c r="K39" s="19"/>
      <c r="L39" s="108"/>
    </row>
    <row r="40" spans="1:12" s="10" customFormat="1" x14ac:dyDescent="0.3">
      <c r="A40" s="49"/>
      <c r="B40" s="17" t="s">
        <v>81</v>
      </c>
      <c r="C40" s="45" t="s">
        <v>471</v>
      </c>
      <c r="D40" s="73"/>
      <c r="E40" s="37"/>
      <c r="F40" s="37"/>
      <c r="G40" s="37"/>
      <c r="H40" s="18"/>
      <c r="I40" s="18"/>
      <c r="J40" s="18"/>
      <c r="K40" s="19"/>
    </row>
    <row r="41" spans="1:12" s="10" customFormat="1" x14ac:dyDescent="0.3">
      <c r="A41" s="49"/>
      <c r="B41" s="17" t="s">
        <v>169</v>
      </c>
      <c r="C41" s="45" t="s">
        <v>472</v>
      </c>
      <c r="D41" s="73"/>
      <c r="E41" s="37"/>
      <c r="F41" s="37"/>
      <c r="G41" s="37"/>
      <c r="H41" s="18"/>
      <c r="I41" s="18"/>
      <c r="J41" s="18"/>
      <c r="K41" s="19"/>
    </row>
    <row r="42" spans="1:12" s="10" customFormat="1" x14ac:dyDescent="0.3">
      <c r="A42" s="49"/>
      <c r="B42" s="17" t="s">
        <v>85</v>
      </c>
      <c r="C42" s="45" t="s">
        <v>646</v>
      </c>
      <c r="D42" s="73"/>
      <c r="E42" s="37"/>
      <c r="F42" s="37"/>
      <c r="G42" s="37"/>
      <c r="H42" s="18"/>
      <c r="I42" s="18"/>
      <c r="J42" s="18"/>
      <c r="K42" s="19"/>
    </row>
    <row r="43" spans="1:12" s="10" customFormat="1" x14ac:dyDescent="0.3">
      <c r="A43" s="49"/>
      <c r="B43" s="56" t="s">
        <v>165</v>
      </c>
      <c r="C43" s="45" t="s">
        <v>647</v>
      </c>
      <c r="D43" s="73"/>
      <c r="E43" s="37"/>
      <c r="F43" s="37"/>
      <c r="G43" s="37"/>
      <c r="H43" s="18"/>
      <c r="I43" s="18"/>
      <c r="J43" s="18"/>
      <c r="K43" s="19"/>
      <c r="L43" s="108"/>
    </row>
    <row r="44" spans="1:12" s="10" customFormat="1" x14ac:dyDescent="0.3">
      <c r="A44" s="49"/>
      <c r="B44" s="17" t="s">
        <v>81</v>
      </c>
      <c r="C44" s="45" t="s">
        <v>673</v>
      </c>
      <c r="D44" s="73"/>
      <c r="E44" s="37"/>
      <c r="F44" s="37"/>
      <c r="G44" s="37"/>
      <c r="H44" s="18"/>
      <c r="I44" s="18"/>
      <c r="J44" s="18"/>
      <c r="K44" s="19"/>
    </row>
    <row r="45" spans="1:12" s="10" customFormat="1" x14ac:dyDescent="0.3">
      <c r="A45" s="49"/>
      <c r="B45" s="17" t="s">
        <v>85</v>
      </c>
      <c r="C45" s="45" t="s">
        <v>648</v>
      </c>
      <c r="D45" s="73"/>
      <c r="E45" s="37"/>
      <c r="F45" s="37"/>
      <c r="G45" s="37"/>
      <c r="H45" s="18"/>
      <c r="I45" s="18"/>
      <c r="J45" s="18"/>
      <c r="K45" s="19"/>
      <c r="L45" s="108"/>
    </row>
    <row r="46" spans="1:12" s="10" customFormat="1" x14ac:dyDescent="0.3">
      <c r="A46" s="50"/>
      <c r="B46" s="21"/>
      <c r="C46" s="111"/>
      <c r="D46" s="74"/>
      <c r="E46" s="38"/>
      <c r="F46" s="38"/>
      <c r="G46" s="38"/>
      <c r="H46" s="22"/>
      <c r="I46" s="22"/>
      <c r="J46" s="22"/>
      <c r="K46" s="23"/>
      <c r="L46" s="108"/>
    </row>
  </sheetData>
  <mergeCells count="5">
    <mergeCell ref="A36:B36"/>
    <mergeCell ref="L1:P1"/>
    <mergeCell ref="A4:B4"/>
    <mergeCell ref="A14:B14"/>
    <mergeCell ref="A23:B23"/>
  </mergeCells>
  <conditionalFormatting sqref="G3 G33:G35">
    <cfRule type="cellIs" dxfId="1732" priority="11" operator="between">
      <formula>TODAY()</formula>
      <formula>TODAY()+10</formula>
    </cfRule>
  </conditionalFormatting>
  <conditionalFormatting sqref="G3">
    <cfRule type="cellIs" dxfId="1731" priority="10" operator="between">
      <formula>TODAY()</formula>
      <formula>TODAY()+10</formula>
    </cfRule>
  </conditionalFormatting>
  <conditionalFormatting sqref="G13">
    <cfRule type="cellIs" dxfId="1730" priority="9" operator="between">
      <formula>TODAY()</formula>
      <formula>TODAY()+10</formula>
    </cfRule>
  </conditionalFormatting>
  <conditionalFormatting sqref="G13">
    <cfRule type="cellIs" dxfId="1729" priority="8" operator="between">
      <formula>TODAY()</formula>
      <formula>TODAY()+10</formula>
    </cfRule>
  </conditionalFormatting>
  <conditionalFormatting sqref="G21:G22">
    <cfRule type="cellIs" dxfId="1728" priority="1" operator="between">
      <formula>TODAY()</formula>
      <formula>TODAY()+10</formula>
    </cfRule>
  </conditionalFormatting>
  <conditionalFormatting sqref="G21:G22">
    <cfRule type="cellIs" dxfId="1727" priority="2" operator="between">
      <formula>TODAY()</formula>
      <formula>TODAY()+10</formula>
    </cfRule>
  </conditionalFormatting>
  <dataValidations count="4">
    <dataValidation type="list" allowBlank="1" showInputMessage="1" showErrorMessage="1" sqref="B3 B13 B33:B35 B21:B22">
      <formula1>MATERIALES</formula1>
    </dataValidation>
    <dataValidation type="list" allowBlank="1" showInputMessage="1" showErrorMessage="1" sqref="C3 C13 C21:C22 C33:C36 C39:C46">
      <formula1>PROVEEDORES</formula1>
    </dataValidation>
    <dataValidation type="list" allowBlank="1" showInputMessage="1" showErrorMessage="1" sqref="E3 E11 E13:E19 E23:E31 E33:E46">
      <formula1>PLAZOdePAGO</formula1>
    </dataValidation>
    <dataValidation type="list" allowBlank="1" showInputMessage="1" showErrorMessage="1" sqref="F3 F11 F13:F19 F23:F31 F33:F46">
      <formula1>PLAZOdePAGO2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workbookViewId="0">
      <selection activeCell="H13" sqref="H13"/>
    </sheetView>
  </sheetViews>
  <sheetFormatPr baseColWidth="10" defaultColWidth="11.44140625" defaultRowHeight="14.4" x14ac:dyDescent="0.3"/>
  <cols>
    <col min="1" max="2" width="11.44140625" style="10"/>
    <col min="3" max="3" width="16.5546875" style="10" customWidth="1"/>
    <col min="4" max="4" width="11.44140625" style="10"/>
    <col min="5" max="5" width="4.44140625" style="10" bestFit="1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486</v>
      </c>
      <c r="B3" s="1" t="s">
        <v>12</v>
      </c>
      <c r="C3" s="107" t="s">
        <v>280</v>
      </c>
      <c r="D3" s="41" t="s">
        <v>676</v>
      </c>
      <c r="E3" s="5">
        <v>60</v>
      </c>
      <c r="F3" s="6" t="s">
        <v>20</v>
      </c>
      <c r="G3" s="7">
        <v>43160</v>
      </c>
      <c r="H3" s="9">
        <v>399</v>
      </c>
      <c r="I3" s="8">
        <v>169</v>
      </c>
      <c r="J3" s="8">
        <f>+H3*I3</f>
        <v>67431</v>
      </c>
      <c r="K3" s="106"/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489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56" t="s">
        <v>98</v>
      </c>
      <c r="C6" s="37" t="s">
        <v>490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491</v>
      </c>
      <c r="C7" s="44" t="s">
        <v>492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85</v>
      </c>
      <c r="C8" s="37" t="s">
        <v>493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50"/>
      <c r="B9" s="21"/>
      <c r="C9" s="21"/>
      <c r="D9" s="74"/>
      <c r="E9" s="21"/>
      <c r="F9" s="21"/>
      <c r="G9" s="21"/>
      <c r="H9" s="22"/>
      <c r="I9" s="22"/>
      <c r="J9" s="22"/>
      <c r="K9" s="23"/>
    </row>
  </sheetData>
  <mergeCells count="2">
    <mergeCell ref="L1:P1"/>
    <mergeCell ref="A4:B4"/>
  </mergeCells>
  <conditionalFormatting sqref="G3">
    <cfRule type="cellIs" dxfId="1726" priority="14" operator="between">
      <formula>TODAY()</formula>
      <formula>TODAY()+10</formula>
    </cfRule>
  </conditionalFormatting>
  <dataValidations count="4">
    <dataValidation type="list" allowBlank="1" showInputMessage="1" showErrorMessage="1" sqref="F3:F9">
      <formula1>PLAZOdePAGO2</formula1>
    </dataValidation>
    <dataValidation type="list" allowBlank="1" showInputMessage="1" showErrorMessage="1" sqref="E3:E9">
      <formula1>PLAZOdePAGO</formula1>
    </dataValidation>
    <dataValidation type="list" allowBlank="1" showInputMessage="1" showErrorMessage="1" sqref="C3">
      <formula1>PROVEEDORES</formula1>
    </dataValidation>
    <dataValidation type="list" allowBlank="1" showInputMessage="1" showErrorMessage="1" sqref="B3">
      <formula1>MATERIALES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A5" sqref="A5:XFD15"/>
    </sheetView>
  </sheetViews>
  <sheetFormatPr baseColWidth="10" defaultRowHeight="14.4" x14ac:dyDescent="0.3"/>
  <cols>
    <col min="5" max="5" width="7.44140625" customWidth="1"/>
  </cols>
  <sheetData>
    <row r="1" spans="1:16" s="10" customFormat="1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s="10" customFormat="1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s="10" customFormat="1" ht="15" x14ac:dyDescent="0.25">
      <c r="A3" s="48" t="s">
        <v>564</v>
      </c>
      <c r="B3" s="1" t="s">
        <v>359</v>
      </c>
      <c r="C3" s="107" t="s">
        <v>7</v>
      </c>
      <c r="D3" s="41">
        <v>20180210</v>
      </c>
      <c r="E3" s="5" t="s">
        <v>5</v>
      </c>
      <c r="F3" s="6"/>
      <c r="G3" s="7">
        <v>43164</v>
      </c>
      <c r="H3" s="9">
        <v>100</v>
      </c>
      <c r="I3" s="8">
        <v>849</v>
      </c>
      <c r="J3" s="8">
        <f>+H3*I3</f>
        <v>84900</v>
      </c>
      <c r="K3" s="106"/>
      <c r="L3" s="10" t="s">
        <v>406</v>
      </c>
    </row>
    <row r="4" spans="1:16" s="10" customFormat="1" ht="15" x14ac:dyDescent="0.25">
      <c r="A4" s="48" t="s">
        <v>565</v>
      </c>
      <c r="B4" s="1" t="s">
        <v>359</v>
      </c>
      <c r="C4" s="107" t="s">
        <v>7</v>
      </c>
      <c r="D4" s="41">
        <v>20180209</v>
      </c>
      <c r="E4" s="5" t="s">
        <v>5</v>
      </c>
      <c r="F4" s="6"/>
      <c r="G4" s="7">
        <v>43164</v>
      </c>
      <c r="H4" s="9">
        <v>100</v>
      </c>
      <c r="I4" s="8">
        <v>854</v>
      </c>
      <c r="J4" s="8">
        <f>+H4*I4</f>
        <v>85400</v>
      </c>
      <c r="K4" s="106"/>
      <c r="L4" s="10" t="s">
        <v>406</v>
      </c>
    </row>
    <row r="5" spans="1:16" s="10" customFormat="1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s="10" customFormat="1" x14ac:dyDescent="0.3">
      <c r="A6" s="49"/>
      <c r="B6" s="17" t="s">
        <v>76</v>
      </c>
      <c r="C6" s="37" t="s">
        <v>92</v>
      </c>
      <c r="D6" s="73"/>
      <c r="E6" s="37"/>
      <c r="F6" s="37"/>
      <c r="G6" s="37"/>
      <c r="H6" s="18"/>
      <c r="I6" s="18"/>
      <c r="J6" s="18"/>
      <c r="K6" s="19"/>
    </row>
    <row r="7" spans="1:16" s="10" customFormat="1" x14ac:dyDescent="0.3">
      <c r="A7" s="49"/>
      <c r="B7" s="17" t="s">
        <v>78</v>
      </c>
      <c r="C7" s="37" t="s">
        <v>627</v>
      </c>
      <c r="D7" s="73"/>
      <c r="E7" s="37"/>
      <c r="F7" s="37"/>
      <c r="G7" s="37"/>
      <c r="H7" s="18"/>
      <c r="I7" s="59"/>
      <c r="J7" s="18"/>
      <c r="K7" s="19"/>
    </row>
    <row r="8" spans="1:16" s="10" customFormat="1" x14ac:dyDescent="0.3">
      <c r="A8" s="49"/>
      <c r="B8" s="56" t="s">
        <v>98</v>
      </c>
      <c r="C8" s="45" t="s">
        <v>645</v>
      </c>
      <c r="D8" s="73"/>
      <c r="E8" s="37"/>
      <c r="F8" s="37"/>
      <c r="G8" s="37"/>
      <c r="H8" s="18"/>
      <c r="I8" s="18"/>
      <c r="J8" s="18"/>
      <c r="K8" s="19"/>
      <c r="L8" s="108"/>
    </row>
    <row r="9" spans="1:16" s="10" customFormat="1" x14ac:dyDescent="0.3">
      <c r="A9" s="49"/>
      <c r="B9" s="17" t="s">
        <v>81</v>
      </c>
      <c r="C9" s="45" t="s">
        <v>471</v>
      </c>
      <c r="D9" s="73"/>
      <c r="E9" s="37"/>
      <c r="F9" s="37"/>
      <c r="G9" s="37"/>
      <c r="H9" s="18"/>
      <c r="I9" s="18"/>
      <c r="J9" s="18"/>
      <c r="K9" s="19"/>
    </row>
    <row r="10" spans="1:16" s="10" customFormat="1" ht="15" x14ac:dyDescent="0.25">
      <c r="A10" s="49"/>
      <c r="B10" s="17" t="s">
        <v>169</v>
      </c>
      <c r="C10" s="45" t="s">
        <v>472</v>
      </c>
      <c r="D10" s="73"/>
      <c r="E10" s="37"/>
      <c r="F10" s="37"/>
      <c r="G10" s="37"/>
      <c r="H10" s="18"/>
      <c r="I10" s="18"/>
      <c r="J10" s="18"/>
      <c r="K10" s="19"/>
    </row>
    <row r="11" spans="1:16" s="10" customFormat="1" x14ac:dyDescent="0.3">
      <c r="A11" s="49"/>
      <c r="B11" s="17" t="s">
        <v>85</v>
      </c>
      <c r="C11" s="45" t="s">
        <v>646</v>
      </c>
      <c r="D11" s="73"/>
      <c r="E11" s="37"/>
      <c r="F11" s="37"/>
      <c r="G11" s="37"/>
      <c r="H11" s="18"/>
      <c r="I11" s="18"/>
      <c r="J11" s="18"/>
      <c r="K11" s="19"/>
    </row>
    <row r="12" spans="1:16" s="10" customFormat="1" x14ac:dyDescent="0.3">
      <c r="A12" s="49"/>
      <c r="B12" s="56" t="s">
        <v>165</v>
      </c>
      <c r="C12" s="45" t="s">
        <v>647</v>
      </c>
      <c r="D12" s="73"/>
      <c r="E12" s="37"/>
      <c r="F12" s="37"/>
      <c r="G12" s="37"/>
      <c r="H12" s="18"/>
      <c r="I12" s="18"/>
      <c r="J12" s="18"/>
      <c r="K12" s="19"/>
      <c r="L12" s="108"/>
    </row>
    <row r="13" spans="1:16" s="10" customFormat="1" x14ac:dyDescent="0.3">
      <c r="A13" s="49"/>
      <c r="B13" s="17" t="s">
        <v>81</v>
      </c>
      <c r="C13" s="45" t="s">
        <v>673</v>
      </c>
      <c r="D13" s="73"/>
      <c r="E13" s="37"/>
      <c r="F13" s="37"/>
      <c r="G13" s="37"/>
      <c r="H13" s="18"/>
      <c r="I13" s="18"/>
      <c r="J13" s="18"/>
      <c r="K13" s="19"/>
    </row>
    <row r="14" spans="1:16" s="10" customFormat="1" x14ac:dyDescent="0.3">
      <c r="A14" s="49"/>
      <c r="B14" s="17" t="s">
        <v>85</v>
      </c>
      <c r="C14" s="45" t="s">
        <v>648</v>
      </c>
      <c r="D14" s="73"/>
      <c r="E14" s="37"/>
      <c r="F14" s="37"/>
      <c r="G14" s="37"/>
      <c r="H14" s="18"/>
      <c r="I14" s="18"/>
      <c r="J14" s="18"/>
      <c r="K14" s="19"/>
      <c r="L14" s="108"/>
    </row>
    <row r="15" spans="1:16" s="10" customFormat="1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  <c r="L15" s="108"/>
    </row>
  </sheetData>
  <mergeCells count="2">
    <mergeCell ref="L1:P1"/>
    <mergeCell ref="A5:B5"/>
  </mergeCells>
  <conditionalFormatting sqref="G3:G4">
    <cfRule type="cellIs" dxfId="1725" priority="8" operator="between">
      <formula>TODAY()</formula>
      <formula>TODAY()+10</formula>
    </cfRule>
  </conditionalFormatting>
  <dataValidations count="4">
    <dataValidation type="list" allowBlank="1" showInputMessage="1" showErrorMessage="1" sqref="B3:B4">
      <formula1>MATERIALES</formula1>
    </dataValidation>
    <dataValidation type="list" allowBlank="1" showInputMessage="1" showErrorMessage="1" sqref="C8:C15 C3:C5">
      <formula1>PROVEEDORES</formula1>
    </dataValidation>
    <dataValidation type="list" allowBlank="1" showInputMessage="1" showErrorMessage="1" sqref="E3:E15">
      <formula1>PLAZOdePAGO</formula1>
    </dataValidation>
    <dataValidation type="list" allowBlank="1" showInputMessage="1" showErrorMessage="1" sqref="F3:F15">
      <formula1>PLAZOdePAGO2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workbookViewId="0">
      <selection activeCell="J3" sqref="H3:J3"/>
    </sheetView>
  </sheetViews>
  <sheetFormatPr baseColWidth="10" defaultColWidth="11.44140625" defaultRowHeight="14.4" x14ac:dyDescent="0.3"/>
  <cols>
    <col min="1" max="4" width="11.44140625" style="10"/>
    <col min="5" max="5" width="7.44140625" style="10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357</v>
      </c>
      <c r="B3" s="1" t="s">
        <v>360</v>
      </c>
      <c r="C3" s="107" t="s">
        <v>361</v>
      </c>
      <c r="D3" s="41">
        <v>201752921</v>
      </c>
      <c r="E3" s="5">
        <v>90</v>
      </c>
      <c r="F3" s="6" t="s">
        <v>20</v>
      </c>
      <c r="G3" s="7">
        <v>43171</v>
      </c>
      <c r="H3" s="9">
        <v>49.8</v>
      </c>
      <c r="I3" s="8">
        <f>+J3/H3</f>
        <v>1234.839357429719</v>
      </c>
      <c r="J3" s="8">
        <v>61495</v>
      </c>
      <c r="K3" s="106">
        <v>43077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606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607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81</v>
      </c>
      <c r="C7" s="37" t="s">
        <v>608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98</v>
      </c>
      <c r="C8" s="44" t="s">
        <v>609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610</v>
      </c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50"/>
      <c r="B10" s="21"/>
      <c r="C10" s="21"/>
      <c r="D10" s="74"/>
      <c r="E10" s="21"/>
      <c r="F10" s="21"/>
      <c r="G10" s="21"/>
      <c r="H10" s="22"/>
      <c r="I10" s="22"/>
      <c r="J10" s="22"/>
      <c r="K10" s="23"/>
    </row>
    <row r="11" spans="1:16" ht="3.75" customHeight="1" x14ac:dyDescent="0.25">
      <c r="A11" s="47"/>
      <c r="B11" s="24"/>
      <c r="C11" s="24"/>
      <c r="D11" s="71"/>
      <c r="E11" s="24"/>
      <c r="F11" s="24"/>
      <c r="G11" s="24"/>
      <c r="H11" s="24"/>
      <c r="I11" s="24"/>
      <c r="J11" s="24"/>
      <c r="K11" s="24"/>
    </row>
    <row r="12" spans="1:16" x14ac:dyDescent="0.3">
      <c r="A12" s="48" t="s">
        <v>567</v>
      </c>
      <c r="B12" s="1" t="s">
        <v>11</v>
      </c>
      <c r="C12" s="107" t="s">
        <v>16</v>
      </c>
      <c r="D12" s="41" t="s">
        <v>695</v>
      </c>
      <c r="E12" s="5">
        <v>30</v>
      </c>
      <c r="F12" s="6" t="s">
        <v>20</v>
      </c>
      <c r="G12" s="7">
        <v>43171</v>
      </c>
      <c r="H12" s="9">
        <v>200</v>
      </c>
      <c r="I12" s="8">
        <v>310</v>
      </c>
      <c r="J12" s="8">
        <f>+H12*I12</f>
        <v>62000</v>
      </c>
      <c r="K12" s="106">
        <v>43140</v>
      </c>
    </row>
    <row r="13" spans="1:16" ht="18.75" x14ac:dyDescent="0.3">
      <c r="A13" s="531" t="s">
        <v>91</v>
      </c>
      <c r="B13" s="532"/>
      <c r="C13" s="13"/>
      <c r="D13" s="13"/>
      <c r="E13" s="13"/>
      <c r="F13" s="13"/>
      <c r="G13" s="13"/>
      <c r="H13" s="13"/>
      <c r="I13" s="13"/>
      <c r="J13" s="13"/>
      <c r="K13" s="14"/>
    </row>
    <row r="14" spans="1:16" x14ac:dyDescent="0.3">
      <c r="A14" s="49"/>
      <c r="B14" s="17" t="s">
        <v>76</v>
      </c>
      <c r="C14" s="37" t="s">
        <v>183</v>
      </c>
      <c r="D14" s="37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17" t="s">
        <v>78</v>
      </c>
      <c r="C15" s="37" t="s">
        <v>184</v>
      </c>
      <c r="D15" s="37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56" t="s">
        <v>98</v>
      </c>
      <c r="C16" s="17" t="s">
        <v>691</v>
      </c>
      <c r="D16" s="37"/>
      <c r="E16" s="37"/>
      <c r="F16" s="37"/>
      <c r="G16" s="37"/>
      <c r="H16" s="18"/>
      <c r="I16" s="18"/>
      <c r="J16" s="18"/>
      <c r="K16" s="19"/>
    </row>
    <row r="17" spans="1:11" x14ac:dyDescent="0.3">
      <c r="A17" s="49"/>
      <c r="B17" s="17" t="s">
        <v>83</v>
      </c>
      <c r="C17" s="45" t="s">
        <v>692</v>
      </c>
      <c r="D17" s="37"/>
      <c r="E17" s="37"/>
      <c r="F17" s="37"/>
      <c r="G17" s="37"/>
      <c r="H17" s="18"/>
      <c r="I17" s="18"/>
      <c r="J17" s="18"/>
      <c r="K17" s="19"/>
    </row>
    <row r="18" spans="1:11" x14ac:dyDescent="0.3">
      <c r="A18" s="49"/>
      <c r="B18" s="17" t="s">
        <v>81</v>
      </c>
      <c r="C18" s="58" t="s">
        <v>693</v>
      </c>
      <c r="D18" s="37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85</v>
      </c>
      <c r="C19" s="45" t="s">
        <v>694</v>
      </c>
      <c r="D19" s="37"/>
      <c r="E19" s="37"/>
      <c r="F19" s="37"/>
      <c r="G19" s="37"/>
      <c r="H19" s="18"/>
      <c r="I19" s="18"/>
      <c r="J19" s="18"/>
      <c r="K19" s="19"/>
    </row>
    <row r="20" spans="1:11" ht="15" x14ac:dyDescent="0.25">
      <c r="A20" s="50"/>
      <c r="B20" s="21"/>
      <c r="C20" s="21"/>
      <c r="D20" s="21"/>
      <c r="E20" s="21"/>
      <c r="F20" s="21"/>
      <c r="G20" s="21"/>
      <c r="H20" s="22"/>
      <c r="I20" s="22"/>
      <c r="J20" s="22"/>
      <c r="K20" s="23"/>
    </row>
  </sheetData>
  <mergeCells count="3">
    <mergeCell ref="A13:B13"/>
    <mergeCell ref="L1:P1"/>
    <mergeCell ref="A4:B4"/>
  </mergeCells>
  <conditionalFormatting sqref="G3">
    <cfRule type="cellIs" dxfId="1724" priority="6" operator="between">
      <formula>TODAY()</formula>
      <formula>TODAY()+10</formula>
    </cfRule>
  </conditionalFormatting>
  <conditionalFormatting sqref="G12">
    <cfRule type="cellIs" dxfId="1723" priority="1" operator="between">
      <formula>TODAY()</formula>
      <formula>TODAY()+10</formula>
    </cfRule>
  </conditionalFormatting>
  <dataValidations count="4">
    <dataValidation type="list" allowBlank="1" showInputMessage="1" showErrorMessage="1" sqref="F4:F10 F12">
      <formula1>PLAZOdePAGO2</formula1>
    </dataValidation>
    <dataValidation type="list" allowBlank="1" showInputMessage="1" showErrorMessage="1" sqref="E4:E10 E12">
      <formula1>PLAZOdePAGO</formula1>
    </dataValidation>
    <dataValidation type="list" allowBlank="1" showInputMessage="1" showErrorMessage="1" sqref="C3 C12">
      <formula1>PROVEEDORES</formula1>
    </dataValidation>
    <dataValidation type="list" allowBlank="1" showInputMessage="1" showErrorMessage="1" sqref="B3 B12">
      <formula1>MATERIALES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H18" sqref="H18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4" width="11.44140625" style="10"/>
    <col min="5" max="5" width="7.44140625" style="10" customWidth="1"/>
    <col min="6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655</v>
      </c>
      <c r="B3" s="1" t="s">
        <v>4</v>
      </c>
      <c r="C3" s="107" t="s">
        <v>17</v>
      </c>
      <c r="D3" s="109">
        <v>18030026</v>
      </c>
      <c r="E3" s="5" t="s">
        <v>5</v>
      </c>
      <c r="F3" s="6"/>
      <c r="G3" s="7">
        <v>43186</v>
      </c>
      <c r="H3" s="9">
        <v>408</v>
      </c>
      <c r="I3" s="8">
        <v>508</v>
      </c>
      <c r="J3" s="8">
        <f>+I3*H3</f>
        <v>207264</v>
      </c>
      <c r="K3" s="106" t="s">
        <v>670</v>
      </c>
      <c r="L3" s="10" t="s">
        <v>672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17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 t="s">
        <v>349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17" t="s">
        <v>81</v>
      </c>
      <c r="C7" s="37" t="s">
        <v>345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56" t="s">
        <v>98</v>
      </c>
      <c r="C8" s="44" t="s">
        <v>346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347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 t="s">
        <v>348</v>
      </c>
      <c r="D10" s="73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ht="3.75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ht="3.75" customHeight="1" x14ac:dyDescent="0.25">
      <c r="A13" s="47"/>
      <c r="B13" s="24"/>
      <c r="C13" s="24"/>
      <c r="D13" s="71"/>
      <c r="E13" s="24"/>
      <c r="F13" s="24"/>
      <c r="G13" s="24"/>
      <c r="H13" s="24"/>
      <c r="I13" s="24"/>
      <c r="J13" s="24"/>
      <c r="K13" s="24"/>
    </row>
    <row r="14" spans="1:16" ht="15" x14ac:dyDescent="0.25">
      <c r="A14" s="48" t="s">
        <v>487</v>
      </c>
      <c r="B14" s="1" t="s">
        <v>56</v>
      </c>
      <c r="C14" s="107" t="s">
        <v>50</v>
      </c>
      <c r="D14" s="7" t="s">
        <v>696</v>
      </c>
      <c r="E14" s="5" t="s">
        <v>5</v>
      </c>
      <c r="F14" s="6"/>
      <c r="G14" s="7">
        <v>43186</v>
      </c>
      <c r="H14" s="9">
        <v>240</v>
      </c>
      <c r="I14" s="8">
        <v>315</v>
      </c>
      <c r="J14" s="8">
        <f>+H14*I14</f>
        <v>75600</v>
      </c>
      <c r="K14" s="106"/>
      <c r="L14" s="93"/>
    </row>
    <row r="15" spans="1:16" ht="18.75" x14ac:dyDescent="0.3">
      <c r="A15" s="531" t="s">
        <v>91</v>
      </c>
      <c r="B15" s="532"/>
      <c r="C15" s="13"/>
      <c r="D15" s="72"/>
      <c r="E15" s="13"/>
      <c r="F15" s="13"/>
      <c r="G15" s="13"/>
      <c r="H15" s="13"/>
      <c r="I15" s="13"/>
      <c r="J15" s="13"/>
      <c r="K15" s="14"/>
    </row>
    <row r="16" spans="1:16" x14ac:dyDescent="0.3">
      <c r="A16" s="49"/>
      <c r="B16" s="17" t="s">
        <v>76</v>
      </c>
      <c r="C16" s="37" t="s">
        <v>700</v>
      </c>
      <c r="D16" s="73"/>
      <c r="E16" s="37"/>
      <c r="F16" s="37"/>
      <c r="G16" s="37"/>
      <c r="H16" s="18"/>
      <c r="I16" s="18"/>
      <c r="J16" s="18"/>
      <c r="K16" s="19"/>
    </row>
    <row r="17" spans="1:11" x14ac:dyDescent="0.3">
      <c r="A17" s="49"/>
      <c r="B17" s="17" t="s">
        <v>83</v>
      </c>
      <c r="C17" s="37" t="s">
        <v>193</v>
      </c>
      <c r="D17" s="73"/>
      <c r="E17" s="37"/>
      <c r="F17" s="37"/>
      <c r="G17" s="37"/>
      <c r="H17" s="18"/>
      <c r="I17" s="59"/>
      <c r="J17" s="18"/>
      <c r="K17" s="19"/>
    </row>
    <row r="18" spans="1:11" x14ac:dyDescent="0.3">
      <c r="A18" s="49"/>
      <c r="B18" s="56" t="s">
        <v>98</v>
      </c>
      <c r="C18" s="17" t="s">
        <v>702</v>
      </c>
      <c r="D18" s="73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84</v>
      </c>
      <c r="C19" s="44" t="s">
        <v>701</v>
      </c>
      <c r="D19" s="73"/>
      <c r="E19" s="37"/>
      <c r="F19" s="37"/>
      <c r="G19" s="37"/>
      <c r="H19" s="18"/>
      <c r="I19" s="18"/>
      <c r="J19" s="18"/>
      <c r="K19" s="19"/>
    </row>
    <row r="20" spans="1:11" x14ac:dyDescent="0.3">
      <c r="A20" s="49"/>
      <c r="B20" s="17" t="s">
        <v>85</v>
      </c>
      <c r="C20" s="44" t="s">
        <v>195</v>
      </c>
      <c r="D20" s="73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56" t="s">
        <v>461</v>
      </c>
      <c r="C21" s="17" t="s">
        <v>200</v>
      </c>
      <c r="D21" s="73"/>
      <c r="E21" s="37"/>
      <c r="F21" s="37"/>
      <c r="G21" s="37"/>
      <c r="H21" s="18"/>
      <c r="I21" s="18"/>
      <c r="J21" s="18"/>
      <c r="K21" s="19"/>
    </row>
    <row r="22" spans="1:11" x14ac:dyDescent="0.3">
      <c r="A22" s="49"/>
      <c r="B22" s="17" t="s">
        <v>84</v>
      </c>
      <c r="C22" s="44" t="s">
        <v>201</v>
      </c>
      <c r="D22" s="73"/>
      <c r="E22" s="37"/>
      <c r="F22" s="37"/>
      <c r="G22" s="37"/>
      <c r="H22" s="18"/>
      <c r="I22" s="18"/>
      <c r="J22" s="18"/>
      <c r="K22" s="19"/>
    </row>
    <row r="23" spans="1:11" x14ac:dyDescent="0.3">
      <c r="A23" s="49"/>
      <c r="B23" s="56" t="s">
        <v>165</v>
      </c>
      <c r="C23" s="44" t="s">
        <v>197</v>
      </c>
      <c r="D23" s="73"/>
      <c r="E23" s="37"/>
      <c r="F23" s="37"/>
      <c r="G23" s="37"/>
      <c r="H23" s="18"/>
      <c r="I23" s="18"/>
      <c r="J23" s="18"/>
      <c r="K23" s="19"/>
    </row>
    <row r="24" spans="1:11" x14ac:dyDescent="0.3">
      <c r="A24" s="49"/>
      <c r="B24" s="17" t="s">
        <v>84</v>
      </c>
      <c r="C24" s="44" t="s">
        <v>199</v>
      </c>
      <c r="D24" s="73"/>
      <c r="E24" s="37"/>
      <c r="F24" s="37"/>
      <c r="G24" s="37"/>
      <c r="H24" s="18"/>
      <c r="I24" s="18"/>
      <c r="J24" s="18"/>
      <c r="K24" s="19"/>
    </row>
    <row r="25" spans="1:11" ht="15" x14ac:dyDescent="0.25">
      <c r="A25" s="50"/>
      <c r="B25" s="21"/>
      <c r="C25" s="21"/>
      <c r="D25" s="74"/>
      <c r="E25" s="21"/>
      <c r="F25" s="21"/>
      <c r="G25" s="21"/>
      <c r="H25" s="22"/>
      <c r="I25" s="22"/>
      <c r="J25" s="22"/>
      <c r="K25" s="23"/>
    </row>
  </sheetData>
  <mergeCells count="3">
    <mergeCell ref="L1:P1"/>
    <mergeCell ref="A4:B4"/>
    <mergeCell ref="A15:B15"/>
  </mergeCells>
  <conditionalFormatting sqref="G3">
    <cfRule type="cellIs" dxfId="1722" priority="18" operator="between">
      <formula>TODAY()</formula>
      <formula>TODAY()+10</formula>
    </cfRule>
  </conditionalFormatting>
  <conditionalFormatting sqref="G14">
    <cfRule type="cellIs" dxfId="1721" priority="1" operator="between">
      <formula>TODAY()</formula>
      <formula>TODAY()+10</formula>
    </cfRule>
  </conditionalFormatting>
  <dataValidations count="4">
    <dataValidation type="list" allowBlank="1" showInputMessage="1" showErrorMessage="1" sqref="B14 B3">
      <formula1>MATERIALES</formula1>
    </dataValidation>
    <dataValidation type="list" allowBlank="1" showInputMessage="1" showErrorMessage="1" sqref="C14 C3">
      <formula1>PROVEEDORES</formula1>
    </dataValidation>
    <dataValidation type="list" allowBlank="1" showInputMessage="1" showErrorMessage="1" sqref="E14:E25 E3:E11">
      <formula1>PLAZOdePAGO</formula1>
    </dataValidation>
    <dataValidation type="list" allowBlank="1" showInputMessage="1" showErrorMessage="1" sqref="F3:F11 F14:F25">
      <formula1>PLAZOdePAGO2</formula1>
    </dataValidation>
  </dataValidation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showGridLines="0" workbookViewId="0">
      <selection activeCell="G19" sqref="G19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358</v>
      </c>
      <c r="B3" s="1" t="s">
        <v>360</v>
      </c>
      <c r="C3" s="107" t="s">
        <v>361</v>
      </c>
      <c r="D3" s="109">
        <v>201752710</v>
      </c>
      <c r="E3" s="5">
        <v>150</v>
      </c>
      <c r="F3" s="6" t="s">
        <v>20</v>
      </c>
      <c r="G3" s="7">
        <v>43192</v>
      </c>
      <c r="H3" s="9">
        <v>49</v>
      </c>
      <c r="I3" s="8">
        <v>1255</v>
      </c>
      <c r="J3" s="8">
        <f>+H3*I3</f>
        <v>61495</v>
      </c>
      <c r="K3" s="106">
        <v>43407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606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607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81</v>
      </c>
      <c r="C7" s="37" t="s">
        <v>608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98</v>
      </c>
      <c r="C8" s="44" t="s">
        <v>609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610</v>
      </c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50"/>
      <c r="B10" s="21"/>
      <c r="C10" s="21"/>
      <c r="D10" s="74"/>
      <c r="E10" s="21"/>
      <c r="F10" s="21"/>
      <c r="G10" s="21"/>
      <c r="H10" s="22"/>
      <c r="I10" s="22"/>
      <c r="J10" s="22"/>
      <c r="K10" s="23"/>
    </row>
    <row r="11" spans="1:16" ht="3.75" customHeight="1" x14ac:dyDescent="0.25">
      <c r="A11" s="47"/>
      <c r="B11" s="24"/>
      <c r="C11" s="24"/>
      <c r="D11" s="71"/>
      <c r="E11" s="24"/>
      <c r="F11" s="24"/>
      <c r="G11" s="24"/>
      <c r="H11" s="24"/>
      <c r="I11" s="24"/>
      <c r="J11" s="24"/>
      <c r="K11" s="24"/>
    </row>
    <row r="12" spans="1:16" x14ac:dyDescent="0.3">
      <c r="A12" s="48" t="s">
        <v>667</v>
      </c>
      <c r="B12" s="1" t="s">
        <v>663</v>
      </c>
      <c r="C12" s="107" t="s">
        <v>664</v>
      </c>
      <c r="D12" s="109">
        <v>551</v>
      </c>
      <c r="E12" s="5">
        <v>30</v>
      </c>
      <c r="F12" s="6" t="s">
        <v>20</v>
      </c>
      <c r="G12" s="7">
        <f>+K12+E12</f>
        <v>43193</v>
      </c>
      <c r="H12" s="9">
        <v>1</v>
      </c>
      <c r="I12" s="8">
        <v>378</v>
      </c>
      <c r="J12" s="8">
        <f>+I12*H12</f>
        <v>378</v>
      </c>
      <c r="K12" s="106">
        <v>43163</v>
      </c>
    </row>
    <row r="13" spans="1:16" x14ac:dyDescent="0.3">
      <c r="A13" s="48" t="s">
        <v>668</v>
      </c>
      <c r="B13" s="1" t="s">
        <v>665</v>
      </c>
      <c r="C13" s="107" t="s">
        <v>664</v>
      </c>
      <c r="D13" s="109">
        <v>551</v>
      </c>
      <c r="E13" s="5">
        <v>30</v>
      </c>
      <c r="F13" s="6" t="s">
        <v>20</v>
      </c>
      <c r="G13" s="7">
        <f>+K13+E13</f>
        <v>43193</v>
      </c>
      <c r="H13" s="9">
        <v>1</v>
      </c>
      <c r="I13" s="8">
        <v>600</v>
      </c>
      <c r="J13" s="8">
        <f>+I13*H13</f>
        <v>600</v>
      </c>
      <c r="K13" s="106">
        <v>43163</v>
      </c>
    </row>
    <row r="14" spans="1:16" x14ac:dyDescent="0.3">
      <c r="A14" s="48" t="s">
        <v>669</v>
      </c>
      <c r="B14" s="1" t="s">
        <v>666</v>
      </c>
      <c r="C14" s="107" t="s">
        <v>664</v>
      </c>
      <c r="D14" s="109">
        <v>551</v>
      </c>
      <c r="E14" s="5">
        <v>30</v>
      </c>
      <c r="F14" s="6" t="s">
        <v>20</v>
      </c>
      <c r="G14" s="7">
        <f>+K14+E14</f>
        <v>43193</v>
      </c>
      <c r="H14" s="9">
        <v>50</v>
      </c>
      <c r="I14" s="8">
        <v>330</v>
      </c>
      <c r="J14" s="8">
        <f>+I14*H14</f>
        <v>16500</v>
      </c>
      <c r="K14" s="106">
        <v>43163</v>
      </c>
    </row>
    <row r="15" spans="1:16" ht="18.75" x14ac:dyDescent="0.3">
      <c r="A15" s="531" t="s">
        <v>91</v>
      </c>
      <c r="B15" s="532"/>
      <c r="C15" s="13"/>
      <c r="D15" s="72"/>
      <c r="E15" s="13"/>
      <c r="F15" s="13"/>
      <c r="G15" s="13"/>
      <c r="H15" s="13"/>
      <c r="I15" s="13"/>
      <c r="J15" s="13"/>
      <c r="K15" s="14"/>
    </row>
    <row r="16" spans="1:16" x14ac:dyDescent="0.3">
      <c r="A16" s="49"/>
      <c r="B16" s="17" t="s">
        <v>76</v>
      </c>
      <c r="C16" s="37"/>
      <c r="D16" s="73"/>
      <c r="E16" s="37"/>
      <c r="F16" s="37"/>
      <c r="G16" s="37"/>
      <c r="H16" s="18"/>
      <c r="I16" s="18"/>
      <c r="J16" s="18"/>
      <c r="K16" s="19"/>
    </row>
    <row r="17" spans="1:12" x14ac:dyDescent="0.3">
      <c r="A17" s="49"/>
      <c r="B17" s="17" t="s">
        <v>83</v>
      </c>
      <c r="C17" s="37"/>
      <c r="D17" s="73"/>
      <c r="E17" s="37"/>
      <c r="F17" s="37"/>
      <c r="G17" s="37"/>
      <c r="H17" s="18"/>
      <c r="I17" s="59"/>
      <c r="J17" s="18"/>
      <c r="K17" s="19"/>
    </row>
    <row r="18" spans="1:12" x14ac:dyDescent="0.3">
      <c r="A18" s="49"/>
      <c r="B18" s="17" t="s">
        <v>81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56" t="s">
        <v>98</v>
      </c>
      <c r="C19" s="44"/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84</v>
      </c>
      <c r="C20" s="44"/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85</v>
      </c>
      <c r="C21" s="44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50"/>
      <c r="B22" s="21"/>
      <c r="C22" s="21"/>
      <c r="D22" s="74"/>
      <c r="E22" s="21"/>
      <c r="F22" s="21"/>
      <c r="G22" s="21"/>
      <c r="H22" s="22"/>
      <c r="I22" s="22"/>
      <c r="J22" s="22"/>
      <c r="K22" s="23"/>
    </row>
    <row r="23" spans="1:12" ht="3.75" customHeight="1" x14ac:dyDescent="0.25">
      <c r="A23" s="47"/>
      <c r="B23" s="24"/>
      <c r="C23" s="24"/>
      <c r="D23" s="71"/>
      <c r="E23" s="24"/>
      <c r="F23" s="24"/>
      <c r="G23" s="24"/>
      <c r="H23" s="24"/>
      <c r="I23" s="24"/>
      <c r="J23" s="24"/>
      <c r="K23" s="24"/>
    </row>
    <row r="24" spans="1:12" ht="15" x14ac:dyDescent="0.25">
      <c r="A24" s="48" t="s">
        <v>654</v>
      </c>
      <c r="B24" s="1" t="s">
        <v>4</v>
      </c>
      <c r="C24" s="107" t="s">
        <v>17</v>
      </c>
      <c r="D24" s="109">
        <v>18030032</v>
      </c>
      <c r="E24" s="5" t="s">
        <v>5</v>
      </c>
      <c r="F24" s="6"/>
      <c r="G24" s="7">
        <v>43194</v>
      </c>
      <c r="H24" s="9">
        <v>408</v>
      </c>
      <c r="I24" s="8">
        <v>498</v>
      </c>
      <c r="J24" s="8">
        <f>+I24*H24</f>
        <v>203184</v>
      </c>
      <c r="K24" s="106">
        <v>43179</v>
      </c>
      <c r="L24" s="10" t="s">
        <v>672</v>
      </c>
    </row>
    <row r="25" spans="1:12" ht="18.75" x14ac:dyDescent="0.3">
      <c r="A25" s="531" t="s">
        <v>91</v>
      </c>
      <c r="B25" s="532"/>
      <c r="C25" s="13"/>
      <c r="D25" s="72"/>
      <c r="E25" s="13"/>
      <c r="F25" s="13"/>
      <c r="G25" s="13"/>
      <c r="H25" s="13"/>
      <c r="I25" s="13"/>
      <c r="J25" s="13"/>
      <c r="K25" s="14"/>
    </row>
    <row r="26" spans="1:12" x14ac:dyDescent="0.3">
      <c r="A26" s="49"/>
      <c r="B26" s="17" t="s">
        <v>76</v>
      </c>
      <c r="C26" s="37" t="s">
        <v>17</v>
      </c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83</v>
      </c>
      <c r="C27" s="37" t="s">
        <v>349</v>
      </c>
      <c r="D27" s="73"/>
      <c r="E27" s="37"/>
      <c r="F27" s="37"/>
      <c r="G27" s="37"/>
      <c r="H27" s="18"/>
      <c r="I27" s="59"/>
      <c r="J27" s="18"/>
      <c r="K27" s="19"/>
    </row>
    <row r="28" spans="1:12" x14ac:dyDescent="0.3">
      <c r="A28" s="49"/>
      <c r="B28" s="17" t="s">
        <v>81</v>
      </c>
      <c r="C28" s="37" t="s">
        <v>345</v>
      </c>
      <c r="D28" s="73"/>
      <c r="E28" s="37"/>
      <c r="F28" s="37"/>
      <c r="G28" s="37"/>
      <c r="H28" s="18"/>
      <c r="I28" s="18"/>
      <c r="J28" s="18"/>
      <c r="K28" s="19"/>
    </row>
    <row r="29" spans="1:12" x14ac:dyDescent="0.3">
      <c r="A29" s="49"/>
      <c r="B29" s="56" t="s">
        <v>98</v>
      </c>
      <c r="C29" s="44" t="s">
        <v>346</v>
      </c>
      <c r="D29" s="73"/>
      <c r="E29" s="37"/>
      <c r="F29" s="37"/>
      <c r="G29" s="37"/>
      <c r="H29" s="18"/>
      <c r="I29" s="18"/>
      <c r="J29" s="18"/>
      <c r="K29" s="19"/>
    </row>
    <row r="30" spans="1:12" x14ac:dyDescent="0.3">
      <c r="A30" s="49"/>
      <c r="B30" s="17" t="s">
        <v>84</v>
      </c>
      <c r="C30" s="44" t="s">
        <v>347</v>
      </c>
      <c r="D30" s="73"/>
      <c r="E30" s="37"/>
      <c r="F30" s="37"/>
      <c r="G30" s="37"/>
      <c r="H30" s="18"/>
      <c r="I30" s="18"/>
      <c r="J30" s="18"/>
      <c r="K30" s="19"/>
    </row>
    <row r="31" spans="1:12" x14ac:dyDescent="0.3">
      <c r="A31" s="49"/>
      <c r="B31" s="17" t="s">
        <v>85</v>
      </c>
      <c r="C31" s="44" t="s">
        <v>348</v>
      </c>
      <c r="D31" s="73"/>
      <c r="E31" s="37"/>
      <c r="F31" s="37"/>
      <c r="G31" s="37"/>
      <c r="H31" s="18"/>
      <c r="I31" s="18"/>
      <c r="J31" s="18"/>
      <c r="K31" s="19"/>
    </row>
    <row r="32" spans="1:12" ht="15" x14ac:dyDescent="0.25">
      <c r="A32" s="50"/>
      <c r="B32" s="21"/>
      <c r="C32" s="21"/>
      <c r="D32" s="74"/>
      <c r="E32" s="21"/>
      <c r="F32" s="21"/>
      <c r="G32" s="21"/>
      <c r="H32" s="22"/>
      <c r="I32" s="22"/>
      <c r="J32" s="22"/>
      <c r="K32" s="23"/>
    </row>
    <row r="33" spans="1:11" ht="3.75" customHeight="1" x14ac:dyDescent="0.3">
      <c r="A33" s="47"/>
      <c r="B33" s="24"/>
      <c r="C33" s="24"/>
      <c r="D33" s="71"/>
      <c r="E33" s="24"/>
      <c r="F33" s="24"/>
      <c r="G33" s="24"/>
      <c r="H33" s="24"/>
      <c r="I33" s="24"/>
      <c r="J33" s="24"/>
      <c r="K33" s="24"/>
    </row>
    <row r="34" spans="1:11" x14ac:dyDescent="0.3">
      <c r="A34" s="48" t="s">
        <v>488</v>
      </c>
      <c r="B34" s="1" t="s">
        <v>56</v>
      </c>
      <c r="C34" s="107" t="s">
        <v>50</v>
      </c>
      <c r="D34" s="109" t="s">
        <v>697</v>
      </c>
      <c r="E34" s="5" t="s">
        <v>5</v>
      </c>
      <c r="F34" s="6"/>
      <c r="G34" s="7">
        <v>43195</v>
      </c>
      <c r="H34" s="9">
        <v>240</v>
      </c>
      <c r="I34" s="8">
        <v>320</v>
      </c>
      <c r="J34" s="8">
        <v>76800</v>
      </c>
      <c r="K34" s="106"/>
    </row>
    <row r="35" spans="1:11" ht="18" x14ac:dyDescent="0.35">
      <c r="A35" s="531" t="s">
        <v>91</v>
      </c>
      <c r="B35" s="532"/>
      <c r="C35" s="13"/>
      <c r="D35" s="72"/>
      <c r="E35" s="13"/>
      <c r="F35" s="13"/>
      <c r="G35" s="13"/>
      <c r="H35" s="13"/>
      <c r="I35" s="13"/>
      <c r="J35" s="13"/>
      <c r="K35" s="14"/>
    </row>
    <row r="36" spans="1:11" x14ac:dyDescent="0.3">
      <c r="A36" s="49"/>
      <c r="B36" s="17" t="s">
        <v>76</v>
      </c>
      <c r="C36" s="37" t="s">
        <v>700</v>
      </c>
      <c r="D36" s="73"/>
      <c r="E36" s="37"/>
      <c r="F36" s="37"/>
      <c r="G36" s="37"/>
      <c r="H36" s="18"/>
      <c r="I36" s="18"/>
      <c r="J36" s="18"/>
      <c r="K36" s="19"/>
    </row>
    <row r="37" spans="1:11" x14ac:dyDescent="0.3">
      <c r="A37" s="49"/>
      <c r="B37" s="17" t="s">
        <v>83</v>
      </c>
      <c r="C37" s="37" t="s">
        <v>193</v>
      </c>
      <c r="D37" s="73"/>
      <c r="E37" s="37"/>
      <c r="F37" s="37"/>
      <c r="G37" s="37"/>
      <c r="H37" s="18"/>
      <c r="I37" s="59"/>
      <c r="J37" s="18"/>
      <c r="K37" s="19"/>
    </row>
    <row r="38" spans="1:11" x14ac:dyDescent="0.3">
      <c r="A38" s="49"/>
      <c r="B38" s="56" t="s">
        <v>98</v>
      </c>
      <c r="C38" s="17" t="s">
        <v>702</v>
      </c>
      <c r="D38" s="73"/>
      <c r="E38" s="37"/>
      <c r="F38" s="37"/>
      <c r="G38" s="37"/>
      <c r="H38" s="18"/>
      <c r="I38" s="18"/>
      <c r="J38" s="18"/>
      <c r="K38" s="19"/>
    </row>
    <row r="39" spans="1:11" x14ac:dyDescent="0.3">
      <c r="A39" s="49"/>
      <c r="B39" s="17" t="s">
        <v>84</v>
      </c>
      <c r="C39" s="44" t="s">
        <v>701</v>
      </c>
      <c r="D39" s="73"/>
      <c r="E39" s="37"/>
      <c r="F39" s="37"/>
      <c r="G39" s="37"/>
      <c r="H39" s="18"/>
      <c r="I39" s="18"/>
      <c r="J39" s="18"/>
      <c r="K39" s="19"/>
    </row>
    <row r="40" spans="1:11" x14ac:dyDescent="0.3">
      <c r="A40" s="49"/>
      <c r="B40" s="17" t="s">
        <v>85</v>
      </c>
      <c r="C40" s="44" t="s">
        <v>195</v>
      </c>
      <c r="D40" s="73"/>
      <c r="E40" s="37"/>
      <c r="F40" s="37"/>
      <c r="G40" s="37"/>
      <c r="H40" s="18"/>
      <c r="I40" s="18"/>
      <c r="J40" s="18"/>
      <c r="K40" s="19"/>
    </row>
    <row r="41" spans="1:11" x14ac:dyDescent="0.3">
      <c r="A41" s="49"/>
      <c r="B41" s="56" t="s">
        <v>461</v>
      </c>
      <c r="C41" s="17" t="s">
        <v>200</v>
      </c>
      <c r="D41" s="73"/>
      <c r="E41" s="37"/>
      <c r="F41" s="37"/>
      <c r="G41" s="37"/>
      <c r="H41" s="18"/>
      <c r="I41" s="18"/>
      <c r="J41" s="18"/>
      <c r="K41" s="19"/>
    </row>
    <row r="42" spans="1:11" x14ac:dyDescent="0.3">
      <c r="A42" s="49"/>
      <c r="B42" s="17" t="s">
        <v>84</v>
      </c>
      <c r="C42" s="44" t="s">
        <v>201</v>
      </c>
      <c r="D42" s="73"/>
      <c r="E42" s="37"/>
      <c r="F42" s="37"/>
      <c r="G42" s="37"/>
      <c r="H42" s="18"/>
      <c r="I42" s="18"/>
      <c r="J42" s="18"/>
      <c r="K42" s="19"/>
    </row>
    <row r="43" spans="1:11" x14ac:dyDescent="0.3">
      <c r="A43" s="49"/>
      <c r="B43" s="56" t="s">
        <v>165</v>
      </c>
      <c r="C43" s="44" t="s">
        <v>197</v>
      </c>
      <c r="D43" s="73"/>
      <c r="E43" s="37"/>
      <c r="F43" s="37"/>
      <c r="G43" s="37"/>
      <c r="H43" s="18"/>
      <c r="I43" s="18"/>
      <c r="J43" s="18"/>
      <c r="K43" s="19"/>
    </row>
    <row r="44" spans="1:11" x14ac:dyDescent="0.3">
      <c r="A44" s="49"/>
      <c r="B44" s="17" t="s">
        <v>84</v>
      </c>
      <c r="C44" s="44" t="s">
        <v>199</v>
      </c>
      <c r="D44" s="73"/>
      <c r="E44" s="37"/>
      <c r="F44" s="37"/>
      <c r="G44" s="37"/>
      <c r="H44" s="18"/>
      <c r="I44" s="18"/>
      <c r="J44" s="18"/>
      <c r="K44" s="19"/>
    </row>
    <row r="45" spans="1:11" x14ac:dyDescent="0.3">
      <c r="A45" s="50"/>
      <c r="B45" s="21"/>
      <c r="C45" s="21"/>
      <c r="D45" s="74"/>
      <c r="E45" s="21"/>
      <c r="F45" s="21"/>
      <c r="G45" s="21"/>
      <c r="H45" s="22"/>
      <c r="I45" s="22"/>
      <c r="J45" s="22"/>
      <c r="K45" s="23"/>
    </row>
  </sheetData>
  <mergeCells count="5">
    <mergeCell ref="L1:P1"/>
    <mergeCell ref="A25:B25"/>
    <mergeCell ref="A35:B35"/>
    <mergeCell ref="A15:B15"/>
    <mergeCell ref="A4:B4"/>
  </mergeCells>
  <conditionalFormatting sqref="G3">
    <cfRule type="cellIs" dxfId="1720" priority="45" operator="between">
      <formula>TODAY()</formula>
      <formula>TODAY()+10</formula>
    </cfRule>
  </conditionalFormatting>
  <conditionalFormatting sqref="G12:G14">
    <cfRule type="cellIs" dxfId="1719" priority="7" operator="between">
      <formula>TODAY()</formula>
      <formula>TODAY()+10</formula>
    </cfRule>
  </conditionalFormatting>
  <conditionalFormatting sqref="G24">
    <cfRule type="cellIs" dxfId="1718" priority="27" operator="between">
      <formula>TODAY()</formula>
      <formula>TODAY()+10</formula>
    </cfRule>
  </conditionalFormatting>
  <conditionalFormatting sqref="G34">
    <cfRule type="cellIs" dxfId="1717" priority="32" operator="between">
      <formula>TODAY()</formula>
      <formula>TODAY()+10</formula>
    </cfRule>
  </conditionalFormatting>
  <dataValidations count="4">
    <dataValidation type="list" allowBlank="1" showInputMessage="1" showErrorMessage="1" sqref="F4:F10 F24:F32 F12:F22 F34:F45">
      <formula1>PLAZOdePAGO2</formula1>
    </dataValidation>
    <dataValidation type="list" allowBlank="1" showInputMessage="1" showErrorMessage="1" sqref="E4:E10 E24:E32 E12:E22 E34:E45">
      <formula1>PLAZOdePAGO</formula1>
    </dataValidation>
    <dataValidation type="list" allowBlank="1" showInputMessage="1" showErrorMessage="1" sqref="C34 C3 C24 C12:C14">
      <formula1>PROVEEDORES</formula1>
    </dataValidation>
    <dataValidation type="list" allowBlank="1" showInputMessage="1" showErrorMessage="1" sqref="B34 B3 B24 B12:B14">
      <formula1>MATERIALES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showGridLines="0" workbookViewId="0">
      <selection activeCell="E17" sqref="E17"/>
    </sheetView>
  </sheetViews>
  <sheetFormatPr baseColWidth="10" defaultRowHeight="14.4" x14ac:dyDescent="0.3"/>
  <cols>
    <col min="1" max="1" width="16.5546875" bestFit="1" customWidth="1"/>
    <col min="2" max="2" width="21.44140625" customWidth="1"/>
    <col min="3" max="3" width="11" bestFit="1" customWidth="1"/>
    <col min="4" max="7" width="10" bestFit="1" customWidth="1"/>
    <col min="8" max="9" width="11.88671875" bestFit="1" customWidth="1"/>
    <col min="10" max="10" width="10" bestFit="1" customWidth="1"/>
    <col min="11" max="11" width="10.5546875" bestFit="1" customWidth="1"/>
    <col min="12" max="12" width="10" bestFit="1" customWidth="1"/>
    <col min="13" max="13" width="10.5546875" bestFit="1" customWidth="1"/>
    <col min="14" max="14" width="8.44140625" customWidth="1"/>
    <col min="15" max="15" width="10.5546875" bestFit="1" customWidth="1"/>
    <col min="16" max="16" width="8.44140625" bestFit="1" customWidth="1"/>
    <col min="17" max="17" width="10.5546875" bestFit="1" customWidth="1"/>
    <col min="18" max="18" width="10" bestFit="1" customWidth="1"/>
    <col min="19" max="19" width="9" bestFit="1" customWidth="1"/>
    <col min="20" max="20" width="7.5546875" customWidth="1"/>
    <col min="21" max="24" width="10" customWidth="1"/>
    <col min="25" max="25" width="9" customWidth="1"/>
    <col min="26" max="26" width="7.5546875" customWidth="1"/>
    <col min="27" max="27" width="11.44140625" customWidth="1"/>
    <col min="28" max="28" width="11" customWidth="1"/>
    <col min="29" max="29" width="11.44140625" customWidth="1"/>
    <col min="30" max="30" width="10" customWidth="1"/>
    <col min="31" max="31" width="11.44140625" customWidth="1"/>
    <col min="32" max="32" width="8.44140625" customWidth="1"/>
    <col min="33" max="33" width="10.44140625" customWidth="1"/>
    <col min="34" max="34" width="10" customWidth="1"/>
    <col min="35" max="35" width="10.44140625" customWidth="1"/>
    <col min="36" max="36" width="8.44140625" customWidth="1"/>
    <col min="37" max="37" width="10.44140625" customWidth="1"/>
    <col min="38" max="38" width="8.44140625" customWidth="1"/>
    <col min="39" max="39" width="11.88671875" customWidth="1"/>
  </cols>
  <sheetData>
    <row r="3" spans="1:8" x14ac:dyDescent="0.25">
      <c r="A3" s="437" t="s">
        <v>3434</v>
      </c>
      <c r="B3" s="437" t="s">
        <v>3436</v>
      </c>
    </row>
    <row r="4" spans="1:8" x14ac:dyDescent="0.25">
      <c r="A4" s="437" t="s">
        <v>3432</v>
      </c>
      <c r="B4" s="351" t="s">
        <v>1535</v>
      </c>
      <c r="C4" s="351" t="s">
        <v>30</v>
      </c>
      <c r="D4" s="351" t="s">
        <v>31</v>
      </c>
      <c r="E4" s="351" t="s">
        <v>34</v>
      </c>
      <c r="F4" s="351" t="s">
        <v>36</v>
      </c>
      <c r="G4" s="351" t="s">
        <v>37</v>
      </c>
      <c r="H4" s="351" t="s">
        <v>3433</v>
      </c>
    </row>
    <row r="5" spans="1:8" x14ac:dyDescent="0.25">
      <c r="A5" s="438">
        <v>2022</v>
      </c>
      <c r="B5" s="439">
        <v>2950597.1300000004</v>
      </c>
      <c r="C5" s="439">
        <v>27950538.351999998</v>
      </c>
      <c r="D5" s="439">
        <v>9694062.5230100006</v>
      </c>
      <c r="E5" s="439">
        <v>2629180.31</v>
      </c>
      <c r="F5" s="439">
        <v>8294096</v>
      </c>
      <c r="G5" s="439">
        <v>6739111.5</v>
      </c>
      <c r="H5" s="439">
        <v>58257585.815009996</v>
      </c>
    </row>
    <row r="6" spans="1:8" x14ac:dyDescent="0.25">
      <c r="A6" s="440">
        <v>8</v>
      </c>
      <c r="B6" s="439">
        <v>2568300</v>
      </c>
      <c r="C6" s="439"/>
      <c r="D6" s="439"/>
      <c r="E6" s="439"/>
      <c r="F6" s="439"/>
      <c r="G6" s="439"/>
      <c r="H6" s="439">
        <v>2568300</v>
      </c>
    </row>
    <row r="7" spans="1:8" x14ac:dyDescent="0.25">
      <c r="A7" s="440">
        <v>9</v>
      </c>
      <c r="B7" s="439">
        <v>372405.14</v>
      </c>
      <c r="C7" s="439"/>
      <c r="D7" s="439"/>
      <c r="E7" s="439"/>
      <c r="F7" s="439"/>
      <c r="G7" s="439"/>
      <c r="H7" s="439">
        <v>372405.14</v>
      </c>
    </row>
    <row r="8" spans="1:8" x14ac:dyDescent="0.25">
      <c r="A8" s="440">
        <v>10</v>
      </c>
      <c r="B8" s="439">
        <v>9891.99</v>
      </c>
      <c r="C8" s="439">
        <v>2028706.74</v>
      </c>
      <c r="D8" s="439"/>
      <c r="E8" s="439"/>
      <c r="F8" s="439"/>
      <c r="G8" s="439"/>
      <c r="H8" s="439">
        <v>2038598.73</v>
      </c>
    </row>
    <row r="9" spans="1:8" x14ac:dyDescent="0.25">
      <c r="A9" s="440">
        <v>11</v>
      </c>
      <c r="B9" s="439"/>
      <c r="C9" s="439">
        <v>17554100.502</v>
      </c>
      <c r="D9" s="439"/>
      <c r="E9" s="439"/>
      <c r="F9" s="439"/>
      <c r="G9" s="439"/>
      <c r="H9" s="439">
        <v>17554100.502</v>
      </c>
    </row>
    <row r="10" spans="1:8" x14ac:dyDescent="0.25">
      <c r="A10" s="440">
        <v>12</v>
      </c>
      <c r="B10" s="439"/>
      <c r="C10" s="439">
        <v>4935508.8599999994</v>
      </c>
      <c r="D10" s="439"/>
      <c r="E10" s="439"/>
      <c r="F10" s="439"/>
      <c r="G10" s="439"/>
      <c r="H10" s="439">
        <v>4935508.8599999994</v>
      </c>
    </row>
    <row r="11" spans="1:8" x14ac:dyDescent="0.25">
      <c r="A11" s="440">
        <v>13</v>
      </c>
      <c r="B11" s="439"/>
      <c r="C11" s="439">
        <v>1523650.12</v>
      </c>
      <c r="D11" s="439"/>
      <c r="E11" s="439"/>
      <c r="F11" s="439"/>
      <c r="G11" s="439"/>
      <c r="H11" s="439">
        <v>1523650.12</v>
      </c>
    </row>
    <row r="12" spans="1:8" x14ac:dyDescent="0.25">
      <c r="A12" s="440">
        <v>14</v>
      </c>
      <c r="B12" s="439"/>
      <c r="C12" s="439">
        <v>1908572.13</v>
      </c>
      <c r="D12" s="439"/>
      <c r="E12" s="439"/>
      <c r="F12" s="439"/>
      <c r="G12" s="439"/>
      <c r="H12" s="439">
        <v>1908572.13</v>
      </c>
    </row>
    <row r="13" spans="1:8" x14ac:dyDescent="0.25">
      <c r="A13" s="440">
        <v>15</v>
      </c>
      <c r="B13" s="439"/>
      <c r="C13" s="439"/>
      <c r="D13" s="439">
        <v>6631610</v>
      </c>
      <c r="E13" s="439"/>
      <c r="F13" s="439"/>
      <c r="G13" s="439"/>
      <c r="H13" s="439">
        <v>6631610</v>
      </c>
    </row>
    <row r="14" spans="1:8" x14ac:dyDescent="0.25">
      <c r="A14" s="440">
        <v>16</v>
      </c>
      <c r="B14" s="439"/>
      <c r="C14" s="439"/>
      <c r="D14" s="439">
        <v>2287125</v>
      </c>
      <c r="E14" s="439"/>
      <c r="F14" s="439"/>
      <c r="G14" s="439"/>
      <c r="H14" s="439">
        <v>2287125</v>
      </c>
    </row>
    <row r="15" spans="1:8" x14ac:dyDescent="0.25">
      <c r="A15" s="440">
        <v>17</v>
      </c>
      <c r="B15" s="439"/>
      <c r="C15" s="439"/>
      <c r="D15" s="439">
        <v>401810.03301000001</v>
      </c>
      <c r="E15" s="439"/>
      <c r="F15" s="439"/>
      <c r="G15" s="439"/>
      <c r="H15" s="439">
        <v>401810.03301000001</v>
      </c>
    </row>
    <row r="16" spans="1:8" x14ac:dyDescent="0.25">
      <c r="A16" s="440">
        <v>18</v>
      </c>
      <c r="B16" s="439"/>
      <c r="C16" s="439"/>
      <c r="D16" s="439">
        <v>373517.49</v>
      </c>
      <c r="E16" s="439"/>
      <c r="F16" s="439"/>
      <c r="G16" s="439"/>
      <c r="H16" s="439">
        <v>373517.49</v>
      </c>
    </row>
    <row r="17" spans="1:8" x14ac:dyDescent="0.25">
      <c r="A17" s="440">
        <v>19</v>
      </c>
      <c r="B17" s="439"/>
      <c r="C17" s="439"/>
      <c r="D17" s="439"/>
      <c r="E17" s="439">
        <v>56640.87</v>
      </c>
      <c r="F17" s="439"/>
      <c r="G17" s="439"/>
      <c r="H17" s="439">
        <v>56640.87</v>
      </c>
    </row>
    <row r="18" spans="1:8" x14ac:dyDescent="0.25">
      <c r="A18" s="440">
        <v>20</v>
      </c>
      <c r="B18" s="439"/>
      <c r="C18" s="439"/>
      <c r="D18" s="439"/>
      <c r="E18" s="439">
        <v>167419.44</v>
      </c>
      <c r="F18" s="439"/>
      <c r="G18" s="439"/>
      <c r="H18" s="439">
        <v>167419.44</v>
      </c>
    </row>
    <row r="19" spans="1:8" x14ac:dyDescent="0.25">
      <c r="A19" s="440">
        <v>21</v>
      </c>
      <c r="B19" s="439"/>
      <c r="C19" s="439"/>
      <c r="D19" s="439"/>
      <c r="E19" s="439">
        <v>549200</v>
      </c>
      <c r="F19" s="439"/>
      <c r="G19" s="439"/>
      <c r="H19" s="439">
        <v>549200</v>
      </c>
    </row>
    <row r="20" spans="1:8" x14ac:dyDescent="0.25">
      <c r="A20" s="440">
        <v>22</v>
      </c>
      <c r="B20" s="439"/>
      <c r="C20" s="439"/>
      <c r="D20" s="439"/>
      <c r="E20" s="439">
        <v>195120</v>
      </c>
      <c r="F20" s="439"/>
      <c r="G20" s="439"/>
      <c r="H20" s="439">
        <v>195120</v>
      </c>
    </row>
    <row r="21" spans="1:8" x14ac:dyDescent="0.25">
      <c r="A21" s="440">
        <v>23</v>
      </c>
      <c r="B21" s="439"/>
      <c r="C21" s="439"/>
      <c r="D21" s="439"/>
      <c r="E21" s="439">
        <v>1660800</v>
      </c>
      <c r="F21" s="439">
        <v>195120</v>
      </c>
      <c r="G21" s="439"/>
      <c r="H21" s="439">
        <v>1855920</v>
      </c>
    </row>
    <row r="22" spans="1:8" x14ac:dyDescent="0.25">
      <c r="A22" s="440">
        <v>24</v>
      </c>
      <c r="B22" s="439"/>
      <c r="C22" s="439"/>
      <c r="D22" s="439"/>
      <c r="E22" s="439"/>
      <c r="F22" s="439">
        <v>2524976</v>
      </c>
      <c r="G22" s="439"/>
      <c r="H22" s="439">
        <v>2524976</v>
      </c>
    </row>
    <row r="23" spans="1:8" x14ac:dyDescent="0.25">
      <c r="A23" s="440">
        <v>25</v>
      </c>
      <c r="B23" s="439"/>
      <c r="C23" s="439"/>
      <c r="D23" s="439"/>
      <c r="E23" s="439"/>
      <c r="F23" s="439">
        <v>3277500</v>
      </c>
      <c r="G23" s="439"/>
      <c r="H23" s="439">
        <v>3277500</v>
      </c>
    </row>
    <row r="24" spans="1:8" x14ac:dyDescent="0.25">
      <c r="A24" s="440">
        <v>27</v>
      </c>
      <c r="B24" s="439"/>
      <c r="C24" s="439"/>
      <c r="D24" s="439"/>
      <c r="E24" s="439"/>
      <c r="F24" s="439">
        <v>2296500</v>
      </c>
      <c r="G24" s="439"/>
      <c r="H24" s="439">
        <v>2296500</v>
      </c>
    </row>
    <row r="25" spans="1:8" x14ac:dyDescent="0.25">
      <c r="A25" s="440">
        <v>28</v>
      </c>
      <c r="B25" s="439"/>
      <c r="C25" s="439"/>
      <c r="D25" s="439"/>
      <c r="E25" s="439"/>
      <c r="F25" s="439"/>
      <c r="G25" s="439">
        <v>5028361.5</v>
      </c>
      <c r="H25" s="439">
        <v>5028361.5</v>
      </c>
    </row>
    <row r="26" spans="1:8" x14ac:dyDescent="0.25">
      <c r="A26" s="440">
        <v>31</v>
      </c>
      <c r="B26" s="439"/>
      <c r="C26" s="439"/>
      <c r="D26" s="439"/>
      <c r="E26" s="439"/>
      <c r="F26" s="439"/>
      <c r="G26" s="439">
        <v>1710750</v>
      </c>
      <c r="H26" s="439">
        <v>1710750</v>
      </c>
    </row>
    <row r="27" spans="1:8" x14ac:dyDescent="0.25">
      <c r="A27" s="438" t="s">
        <v>3433</v>
      </c>
      <c r="B27" s="439">
        <v>2950597.1300000004</v>
      </c>
      <c r="C27" s="439">
        <v>27950538.351999998</v>
      </c>
      <c r="D27" s="439">
        <v>9694062.5230100006</v>
      </c>
      <c r="E27" s="439">
        <v>2629180.31</v>
      </c>
      <c r="F27" s="439">
        <v>8294096</v>
      </c>
      <c r="G27" s="439">
        <v>6739111.5</v>
      </c>
      <c r="H27" s="439">
        <v>58257585.815009996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workbookViewId="0">
      <selection activeCell="A8" sqref="A8:XFD17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643</v>
      </c>
      <c r="B3" s="1" t="s">
        <v>56</v>
      </c>
      <c r="C3" s="107" t="s">
        <v>50</v>
      </c>
      <c r="D3" s="109" t="s">
        <v>703</v>
      </c>
      <c r="E3" s="5" t="s">
        <v>5</v>
      </c>
      <c r="F3" s="6"/>
      <c r="G3" s="7">
        <v>43200</v>
      </c>
      <c r="H3" s="9">
        <v>240</v>
      </c>
      <c r="I3" s="8">
        <v>315</v>
      </c>
      <c r="J3" s="8">
        <v>75600</v>
      </c>
      <c r="K3" s="106" t="s">
        <v>31</v>
      </c>
    </row>
    <row r="4" spans="1:16" ht="15" x14ac:dyDescent="0.25">
      <c r="A4" s="48" t="s">
        <v>644</v>
      </c>
      <c r="B4" s="1" t="s">
        <v>56</v>
      </c>
      <c r="C4" s="107" t="s">
        <v>50</v>
      </c>
      <c r="D4" s="109" t="s">
        <v>703</v>
      </c>
      <c r="E4" s="5" t="s">
        <v>5</v>
      </c>
      <c r="F4" s="6"/>
      <c r="G4" s="7">
        <v>43200</v>
      </c>
      <c r="H4" s="9">
        <v>240</v>
      </c>
      <c r="I4" s="8">
        <v>320</v>
      </c>
      <c r="J4" s="8">
        <v>76800</v>
      </c>
      <c r="K4" s="106" t="s">
        <v>31</v>
      </c>
    </row>
    <row r="5" spans="1:16" ht="15" x14ac:dyDescent="0.25">
      <c r="A5" s="48" t="s">
        <v>662</v>
      </c>
      <c r="B5" s="1" t="s">
        <v>56</v>
      </c>
      <c r="C5" s="107" t="s">
        <v>50</v>
      </c>
      <c r="D5" s="109" t="s">
        <v>714</v>
      </c>
      <c r="E5" s="136" t="s">
        <v>158</v>
      </c>
      <c r="F5" s="6"/>
      <c r="G5" s="7">
        <v>43200</v>
      </c>
      <c r="H5" s="9">
        <v>144</v>
      </c>
      <c r="I5" s="8">
        <v>325</v>
      </c>
      <c r="J5" s="8">
        <f>+I5*H5</f>
        <v>46800</v>
      </c>
      <c r="K5" s="106" t="s">
        <v>31</v>
      </c>
    </row>
    <row r="6" spans="1:16" ht="15" x14ac:dyDescent="0.25">
      <c r="A6" s="48" t="s">
        <v>656</v>
      </c>
      <c r="B6" s="1" t="s">
        <v>56</v>
      </c>
      <c r="C6" s="107" t="s">
        <v>50</v>
      </c>
      <c r="D6" s="109" t="s">
        <v>710</v>
      </c>
      <c r="E6" s="136" t="s">
        <v>158</v>
      </c>
      <c r="F6" s="6"/>
      <c r="G6" s="7">
        <v>43202</v>
      </c>
      <c r="H6" s="9">
        <v>312</v>
      </c>
      <c r="I6" s="8">
        <v>315</v>
      </c>
      <c r="J6" s="8">
        <v>98280</v>
      </c>
      <c r="K6" s="106" t="s">
        <v>31</v>
      </c>
    </row>
    <row r="7" spans="1:16" ht="15" x14ac:dyDescent="0.25">
      <c r="A7" s="48" t="s">
        <v>657</v>
      </c>
      <c r="B7" s="1" t="s">
        <v>56</v>
      </c>
      <c r="C7" s="107" t="s">
        <v>50</v>
      </c>
      <c r="D7" s="109" t="s">
        <v>711</v>
      </c>
      <c r="E7" s="136" t="s">
        <v>158</v>
      </c>
      <c r="F7" s="6"/>
      <c r="G7" s="7">
        <v>43202</v>
      </c>
      <c r="H7" s="9">
        <v>312</v>
      </c>
      <c r="I7" s="8">
        <v>320</v>
      </c>
      <c r="J7" s="8">
        <v>99840</v>
      </c>
      <c r="K7" s="106" t="s">
        <v>31</v>
      </c>
    </row>
    <row r="8" spans="1:16" ht="18.75" x14ac:dyDescent="0.3">
      <c r="A8" s="531" t="s">
        <v>91</v>
      </c>
      <c r="B8" s="532"/>
      <c r="C8" s="13"/>
      <c r="D8" s="72"/>
      <c r="E8" s="13"/>
      <c r="F8" s="13"/>
      <c r="G8" s="13"/>
      <c r="H8" s="13"/>
      <c r="I8" s="13"/>
      <c r="J8" s="13"/>
      <c r="K8" s="14"/>
    </row>
    <row r="9" spans="1:16" x14ac:dyDescent="0.3">
      <c r="A9" s="49"/>
      <c r="B9" s="17" t="s">
        <v>76</v>
      </c>
      <c r="C9" s="37" t="s">
        <v>700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83</v>
      </c>
      <c r="C10" s="37" t="s">
        <v>193</v>
      </c>
      <c r="D10" s="73"/>
      <c r="E10" s="37"/>
      <c r="F10" s="37"/>
      <c r="G10" s="37"/>
      <c r="H10" s="18"/>
      <c r="I10" s="59"/>
      <c r="J10" s="18"/>
      <c r="K10" s="19"/>
    </row>
    <row r="11" spans="1:16" x14ac:dyDescent="0.3">
      <c r="A11" s="49"/>
      <c r="B11" s="56" t="s">
        <v>98</v>
      </c>
      <c r="C11" s="17" t="s">
        <v>702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84</v>
      </c>
      <c r="C12" s="44" t="s">
        <v>701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4" t="s">
        <v>195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56" t="s">
        <v>461</v>
      </c>
      <c r="C14" s="17" t="s">
        <v>200</v>
      </c>
      <c r="D14" s="73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17" t="s">
        <v>84</v>
      </c>
      <c r="C15" s="44" t="s">
        <v>201</v>
      </c>
      <c r="D15" s="73"/>
      <c r="E15" s="37"/>
      <c r="F15" s="37"/>
      <c r="G15" s="37"/>
      <c r="H15" s="18"/>
      <c r="I15" s="18"/>
      <c r="J15" s="18"/>
      <c r="K15" s="19"/>
    </row>
    <row r="16" spans="1:16" x14ac:dyDescent="0.3">
      <c r="A16" s="49"/>
      <c r="B16" s="56" t="s">
        <v>165</v>
      </c>
      <c r="C16" s="44" t="s">
        <v>197</v>
      </c>
      <c r="D16" s="73"/>
      <c r="E16" s="37"/>
      <c r="F16" s="37"/>
      <c r="G16" s="37"/>
      <c r="H16" s="18"/>
      <c r="I16" s="18"/>
      <c r="J16" s="18"/>
      <c r="K16" s="19"/>
    </row>
    <row r="17" spans="1:12" x14ac:dyDescent="0.3">
      <c r="A17" s="49"/>
      <c r="B17" s="17" t="s">
        <v>84</v>
      </c>
      <c r="C17" s="44" t="s">
        <v>199</v>
      </c>
      <c r="D17" s="73"/>
      <c r="E17" s="37"/>
      <c r="F17" s="37"/>
      <c r="G17" s="37"/>
      <c r="H17" s="18"/>
      <c r="I17" s="18"/>
      <c r="J17" s="18"/>
      <c r="K17" s="19"/>
    </row>
    <row r="18" spans="1:12" ht="15" x14ac:dyDescent="0.25">
      <c r="A18" s="50"/>
      <c r="B18" s="21"/>
      <c r="C18" s="21"/>
      <c r="D18" s="74"/>
      <c r="E18" s="21"/>
      <c r="F18" s="21"/>
      <c r="G18" s="21"/>
      <c r="H18" s="22"/>
      <c r="I18" s="22"/>
      <c r="J18" s="22"/>
      <c r="K18" s="23"/>
    </row>
    <row r="19" spans="1:12" ht="3.75" customHeight="1" x14ac:dyDescent="0.25">
      <c r="A19" s="47"/>
      <c r="B19" s="24"/>
      <c r="C19" s="24"/>
      <c r="D19" s="71"/>
      <c r="E19" s="24"/>
      <c r="F19" s="24"/>
      <c r="G19" s="24"/>
      <c r="H19" s="24"/>
      <c r="I19" s="24"/>
      <c r="J19" s="24"/>
      <c r="K19" s="24"/>
    </row>
    <row r="20" spans="1:12" ht="15" x14ac:dyDescent="0.25">
      <c r="A20" s="48" t="s">
        <v>715</v>
      </c>
      <c r="B20" s="1" t="s">
        <v>687</v>
      </c>
      <c r="C20" s="107" t="s">
        <v>7</v>
      </c>
      <c r="D20" s="109">
        <v>20180374</v>
      </c>
      <c r="E20" s="5" t="s">
        <v>5</v>
      </c>
      <c r="F20" s="6"/>
      <c r="G20" s="7">
        <v>43202</v>
      </c>
      <c r="H20" s="9">
        <v>1300</v>
      </c>
      <c r="I20" s="8">
        <v>168</v>
      </c>
      <c r="J20" s="8">
        <v>218400</v>
      </c>
      <c r="K20" s="106">
        <v>43189</v>
      </c>
    </row>
    <row r="21" spans="1:12" ht="15" x14ac:dyDescent="0.25">
      <c r="A21" s="48" t="s">
        <v>716</v>
      </c>
      <c r="B21" s="1" t="s">
        <v>687</v>
      </c>
      <c r="C21" s="107" t="s">
        <v>7</v>
      </c>
      <c r="D21" s="109">
        <v>20180375</v>
      </c>
      <c r="E21" s="5" t="s">
        <v>5</v>
      </c>
      <c r="F21" s="6"/>
      <c r="G21" s="7">
        <v>43202</v>
      </c>
      <c r="H21" s="9">
        <v>520</v>
      </c>
      <c r="I21" s="8">
        <v>168</v>
      </c>
      <c r="J21" s="8">
        <v>87360</v>
      </c>
      <c r="K21" s="106">
        <v>43189</v>
      </c>
    </row>
    <row r="22" spans="1:12" ht="18.75" x14ac:dyDescent="0.3">
      <c r="A22" s="531" t="s">
        <v>91</v>
      </c>
      <c r="B22" s="532"/>
      <c r="C22" s="13"/>
      <c r="D22" s="72"/>
      <c r="E22" s="13"/>
      <c r="F22" s="13"/>
      <c r="G22" s="13"/>
      <c r="H22" s="13"/>
      <c r="I22" s="13"/>
      <c r="J22" s="13"/>
      <c r="K22" s="14"/>
    </row>
    <row r="23" spans="1:12" x14ac:dyDescent="0.3">
      <c r="A23" s="49"/>
      <c r="B23" s="17" t="s">
        <v>76</v>
      </c>
      <c r="C23" s="37" t="s">
        <v>92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78</v>
      </c>
      <c r="C24" s="37" t="s">
        <v>627</v>
      </c>
      <c r="D24" s="73"/>
      <c r="E24" s="37"/>
      <c r="F24" s="37"/>
      <c r="G24" s="37"/>
      <c r="H24" s="18"/>
      <c r="I24" s="59"/>
      <c r="J24" s="18"/>
      <c r="K24" s="19"/>
    </row>
    <row r="25" spans="1:12" x14ac:dyDescent="0.3">
      <c r="A25" s="49"/>
      <c r="B25" s="56" t="s">
        <v>98</v>
      </c>
      <c r="C25" s="45" t="s">
        <v>645</v>
      </c>
      <c r="D25" s="73"/>
      <c r="E25" s="37"/>
      <c r="F25" s="37"/>
      <c r="G25" s="37"/>
      <c r="H25" s="18"/>
      <c r="I25" s="18"/>
      <c r="J25" s="18"/>
      <c r="K25" s="19"/>
      <c r="L25" s="108"/>
    </row>
    <row r="26" spans="1:12" x14ac:dyDescent="0.3">
      <c r="A26" s="49"/>
      <c r="B26" s="17" t="s">
        <v>81</v>
      </c>
      <c r="C26" s="45" t="s">
        <v>471</v>
      </c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49"/>
      <c r="B27" s="17" t="s">
        <v>169</v>
      </c>
      <c r="C27" s="45" t="s">
        <v>472</v>
      </c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85</v>
      </c>
      <c r="C28" s="45" t="s">
        <v>646</v>
      </c>
      <c r="D28" s="73"/>
      <c r="E28" s="37"/>
      <c r="F28" s="37"/>
      <c r="G28" s="37"/>
      <c r="H28" s="18"/>
      <c r="I28" s="18"/>
      <c r="J28" s="18"/>
      <c r="K28" s="19"/>
    </row>
    <row r="29" spans="1:12" x14ac:dyDescent="0.3">
      <c r="A29" s="49"/>
      <c r="B29" s="56" t="s">
        <v>165</v>
      </c>
      <c r="C29" s="45" t="s">
        <v>647</v>
      </c>
      <c r="D29" s="73"/>
      <c r="E29" s="37"/>
      <c r="F29" s="37"/>
      <c r="G29" s="37"/>
      <c r="H29" s="18"/>
      <c r="I29" s="18"/>
      <c r="J29" s="18"/>
      <c r="K29" s="19"/>
      <c r="L29" s="108"/>
    </row>
    <row r="30" spans="1:12" x14ac:dyDescent="0.3">
      <c r="A30" s="49"/>
      <c r="B30" s="17" t="s">
        <v>81</v>
      </c>
      <c r="C30" s="45" t="s">
        <v>673</v>
      </c>
      <c r="D30" s="73"/>
      <c r="E30" s="37"/>
      <c r="F30" s="37"/>
      <c r="G30" s="37"/>
      <c r="H30" s="18"/>
      <c r="I30" s="18"/>
      <c r="J30" s="18"/>
      <c r="K30" s="19"/>
    </row>
    <row r="31" spans="1:12" x14ac:dyDescent="0.3">
      <c r="A31" s="49"/>
      <c r="B31" s="17" t="s">
        <v>85</v>
      </c>
      <c r="C31" s="45" t="s">
        <v>648</v>
      </c>
      <c r="D31" s="73"/>
      <c r="E31" s="37"/>
      <c r="F31" s="37"/>
      <c r="G31" s="37"/>
      <c r="H31" s="18"/>
      <c r="I31" s="18"/>
      <c r="J31" s="18"/>
      <c r="K31" s="19"/>
      <c r="L31" s="108"/>
    </row>
    <row r="32" spans="1:12" x14ac:dyDescent="0.3">
      <c r="A32" s="50"/>
      <c r="B32" s="21"/>
      <c r="C32" s="111"/>
      <c r="D32" s="74"/>
      <c r="E32" s="38"/>
      <c r="F32" s="38"/>
      <c r="G32" s="38"/>
      <c r="H32" s="22"/>
      <c r="I32" s="22"/>
      <c r="J32" s="22"/>
      <c r="K32" s="23"/>
      <c r="L32" s="108"/>
    </row>
  </sheetData>
  <mergeCells count="3">
    <mergeCell ref="A22:B22"/>
    <mergeCell ref="L1:P1"/>
    <mergeCell ref="A8:B8"/>
  </mergeCells>
  <conditionalFormatting sqref="G5">
    <cfRule type="cellIs" dxfId="1716" priority="6" operator="between">
      <formula>TODAY()</formula>
      <formula>TODAY()+10</formula>
    </cfRule>
  </conditionalFormatting>
  <conditionalFormatting sqref="G3:G4">
    <cfRule type="cellIs" dxfId="1715" priority="4" operator="between">
      <formula>TODAY()</formula>
      <formula>TODAY()+10</formula>
    </cfRule>
  </conditionalFormatting>
  <conditionalFormatting sqref="G20:G21">
    <cfRule type="cellIs" dxfId="1714" priority="3" operator="between">
      <formula>TODAY()</formula>
      <formula>TODAY()+10</formula>
    </cfRule>
  </conditionalFormatting>
  <conditionalFormatting sqref="G6:G7">
    <cfRule type="cellIs" dxfId="1713" priority="2" operator="between">
      <formula>TODAY()</formula>
      <formula>TODAY()+10</formula>
    </cfRule>
  </conditionalFormatting>
  <dataValidations count="4">
    <dataValidation type="list" allowBlank="1" showInputMessage="1" showErrorMessage="1" sqref="B3:B7">
      <formula1>MATERIALES</formula1>
    </dataValidation>
    <dataValidation type="list" allowBlank="1" showInputMessage="1" showErrorMessage="1" sqref="C25:C32 C22 C3:C7">
      <formula1>PROVEEDORES</formula1>
    </dataValidation>
    <dataValidation type="list" allowBlank="1" showInputMessage="1" showErrorMessage="1" sqref="E22:E32 E3:E18">
      <formula1>PLAZOdePAGO</formula1>
    </dataValidation>
    <dataValidation type="list" allowBlank="1" showInputMessage="1" showErrorMessage="1" sqref="F22:F32 F3:F18">
      <formula1>PLAZOdePAGO2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showGridLines="0" workbookViewId="0">
      <selection activeCell="A6" sqref="A6:XFD13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660</v>
      </c>
      <c r="B3" s="1" t="s">
        <v>35</v>
      </c>
      <c r="C3" s="107" t="s">
        <v>15</v>
      </c>
      <c r="D3" s="109">
        <v>21187</v>
      </c>
      <c r="E3" s="5" t="s">
        <v>5</v>
      </c>
      <c r="F3" s="6"/>
      <c r="G3" s="7">
        <v>43207</v>
      </c>
      <c r="H3" s="9">
        <v>200</v>
      </c>
      <c r="I3" s="8">
        <v>673</v>
      </c>
      <c r="J3" s="8">
        <v>134600</v>
      </c>
      <c r="K3" s="106">
        <v>43188</v>
      </c>
    </row>
    <row r="4" spans="1:16" x14ac:dyDescent="0.3">
      <c r="A4" s="48" t="s">
        <v>661</v>
      </c>
      <c r="B4" s="1" t="s">
        <v>35</v>
      </c>
      <c r="C4" s="107" t="s">
        <v>15</v>
      </c>
      <c r="D4" s="109">
        <v>21186</v>
      </c>
      <c r="E4" s="5" t="s">
        <v>5</v>
      </c>
      <c r="F4" s="6"/>
      <c r="G4" s="7">
        <v>43207</v>
      </c>
      <c r="H4" s="9">
        <v>200</v>
      </c>
      <c r="I4" s="8">
        <v>676</v>
      </c>
      <c r="J4" s="8">
        <v>135200</v>
      </c>
      <c r="K4" s="106">
        <v>43188</v>
      </c>
    </row>
    <row r="5" spans="1:16" x14ac:dyDescent="0.3">
      <c r="A5" s="48" t="s">
        <v>680</v>
      </c>
      <c r="B5" s="1" t="s">
        <v>35</v>
      </c>
      <c r="C5" s="107" t="s">
        <v>15</v>
      </c>
      <c r="D5" s="109">
        <v>21219</v>
      </c>
      <c r="E5" s="5" t="s">
        <v>5</v>
      </c>
      <c r="F5" s="6"/>
      <c r="G5" s="7">
        <v>43210</v>
      </c>
      <c r="H5" s="9">
        <v>100</v>
      </c>
      <c r="I5" s="8">
        <v>687</v>
      </c>
      <c r="J5" s="8">
        <f>+I5*H5</f>
        <v>68700</v>
      </c>
      <c r="K5" s="106">
        <v>43188</v>
      </c>
    </row>
    <row r="6" spans="1:16" ht="18.75" x14ac:dyDescent="0.3">
      <c r="A6" s="531" t="s">
        <v>91</v>
      </c>
      <c r="B6" s="532"/>
      <c r="C6" s="13"/>
      <c r="D6" s="72"/>
      <c r="E6" s="13"/>
      <c r="F6" s="13"/>
      <c r="G6" s="13"/>
      <c r="H6" s="13"/>
      <c r="I6" s="13"/>
      <c r="J6" s="13"/>
      <c r="K6" s="14"/>
    </row>
    <row r="7" spans="1:16" x14ac:dyDescent="0.3">
      <c r="A7" s="49"/>
      <c r="B7" s="17" t="s">
        <v>76</v>
      </c>
      <c r="C7" s="37" t="s">
        <v>15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78</v>
      </c>
      <c r="C8" s="37" t="s">
        <v>227</v>
      </c>
      <c r="D8" s="73"/>
      <c r="E8" s="37"/>
      <c r="F8" s="37"/>
      <c r="G8" s="37"/>
      <c r="H8" s="18"/>
      <c r="I8" s="59"/>
      <c r="J8" s="18"/>
      <c r="K8" s="19"/>
    </row>
    <row r="9" spans="1:16" x14ac:dyDescent="0.3">
      <c r="A9" s="49"/>
      <c r="B9" s="56" t="s">
        <v>98</v>
      </c>
      <c r="C9" s="45" t="s">
        <v>387</v>
      </c>
      <c r="D9" s="73"/>
      <c r="E9" s="37"/>
      <c r="F9" s="37"/>
      <c r="G9" s="37"/>
      <c r="H9" s="18"/>
      <c r="I9" s="18"/>
      <c r="J9" s="18"/>
      <c r="K9" s="19"/>
      <c r="L9" s="108"/>
    </row>
    <row r="10" spans="1:16" x14ac:dyDescent="0.3">
      <c r="A10" s="49"/>
      <c r="B10" s="17" t="s">
        <v>78</v>
      </c>
      <c r="C10" s="17" t="s">
        <v>388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81</v>
      </c>
      <c r="C11" s="45" t="s">
        <v>389</v>
      </c>
      <c r="D11" s="73"/>
      <c r="E11" s="37"/>
      <c r="F11" s="37"/>
      <c r="G11" s="37"/>
      <c r="H11" s="18"/>
      <c r="I11" s="18"/>
      <c r="J11" s="18"/>
      <c r="K11" s="19"/>
    </row>
    <row r="12" spans="1:16" ht="15" x14ac:dyDescent="0.25">
      <c r="A12" s="49"/>
      <c r="B12" s="17" t="s">
        <v>169</v>
      </c>
      <c r="C12" s="45" t="s">
        <v>390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5" t="s">
        <v>391</v>
      </c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21"/>
      <c r="D14" s="74"/>
      <c r="E14" s="21"/>
      <c r="F14" s="21"/>
      <c r="G14" s="21"/>
      <c r="H14" s="22"/>
      <c r="I14" s="22"/>
      <c r="J14" s="22"/>
      <c r="K14" s="23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5" x14ac:dyDescent="0.25">
      <c r="A16" s="48" t="s">
        <v>707</v>
      </c>
      <c r="B16" s="1" t="s">
        <v>4</v>
      </c>
      <c r="C16" s="107" t="s">
        <v>17</v>
      </c>
      <c r="D16" s="109"/>
      <c r="E16" s="5" t="s">
        <v>5</v>
      </c>
      <c r="F16" s="6"/>
      <c r="G16" s="7">
        <v>43207</v>
      </c>
      <c r="H16" s="9">
        <v>216</v>
      </c>
      <c r="I16" s="8">
        <v>498</v>
      </c>
      <c r="J16" s="8">
        <v>107568</v>
      </c>
      <c r="K16" s="106">
        <v>43179</v>
      </c>
      <c r="L16" s="10" t="s">
        <v>672</v>
      </c>
    </row>
    <row r="17" spans="1:11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1" x14ac:dyDescent="0.3">
      <c r="A18" s="49"/>
      <c r="B18" s="17" t="s">
        <v>76</v>
      </c>
      <c r="C18" s="37" t="s">
        <v>17</v>
      </c>
      <c r="D18" s="73"/>
      <c r="E18" s="37"/>
      <c r="F18" s="37"/>
      <c r="G18" s="37"/>
      <c r="H18" s="18"/>
      <c r="I18" s="18"/>
      <c r="J18" s="18"/>
      <c r="K18" s="19"/>
    </row>
    <row r="19" spans="1:11" x14ac:dyDescent="0.3">
      <c r="A19" s="49"/>
      <c r="B19" s="17" t="s">
        <v>83</v>
      </c>
      <c r="C19" s="37" t="s">
        <v>349</v>
      </c>
      <c r="D19" s="73"/>
      <c r="E19" s="37"/>
      <c r="F19" s="37"/>
      <c r="G19" s="37"/>
      <c r="H19" s="18"/>
      <c r="I19" s="59"/>
      <c r="J19" s="18"/>
      <c r="K19" s="19"/>
    </row>
    <row r="20" spans="1:11" x14ac:dyDescent="0.3">
      <c r="A20" s="49"/>
      <c r="B20" s="17" t="s">
        <v>81</v>
      </c>
      <c r="C20" s="37" t="s">
        <v>345</v>
      </c>
      <c r="D20" s="73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56" t="s">
        <v>98</v>
      </c>
      <c r="C21" s="44" t="s">
        <v>346</v>
      </c>
      <c r="D21" s="73"/>
      <c r="E21" s="37"/>
      <c r="F21" s="37"/>
      <c r="G21" s="37"/>
      <c r="H21" s="18"/>
      <c r="I21" s="18"/>
      <c r="J21" s="18"/>
      <c r="K21" s="19"/>
    </row>
    <row r="22" spans="1:11" x14ac:dyDescent="0.3">
      <c r="A22" s="49"/>
      <c r="B22" s="17" t="s">
        <v>84</v>
      </c>
      <c r="C22" s="44" t="s">
        <v>347</v>
      </c>
      <c r="D22" s="73"/>
      <c r="E22" s="37"/>
      <c r="F22" s="37"/>
      <c r="G22" s="37"/>
      <c r="H22" s="18"/>
      <c r="I22" s="18"/>
      <c r="J22" s="18"/>
      <c r="K22" s="19"/>
    </row>
    <row r="23" spans="1:11" x14ac:dyDescent="0.3">
      <c r="A23" s="49"/>
      <c r="B23" s="17" t="s">
        <v>85</v>
      </c>
      <c r="C23" s="44" t="s">
        <v>348</v>
      </c>
      <c r="D23" s="73"/>
      <c r="E23" s="37"/>
      <c r="F23" s="37"/>
      <c r="G23" s="37"/>
      <c r="H23" s="18"/>
      <c r="I23" s="18"/>
      <c r="J23" s="18"/>
      <c r="K23" s="19"/>
    </row>
    <row r="24" spans="1:11" ht="15" x14ac:dyDescent="0.25">
      <c r="A24" s="50"/>
      <c r="B24" s="21"/>
      <c r="C24" s="21"/>
      <c r="D24" s="74"/>
      <c r="E24" s="21"/>
      <c r="F24" s="21"/>
      <c r="G24" s="21"/>
      <c r="H24" s="22"/>
      <c r="I24" s="22"/>
      <c r="J24" s="22"/>
      <c r="K24" s="23"/>
    </row>
  </sheetData>
  <mergeCells count="3">
    <mergeCell ref="L1:P1"/>
    <mergeCell ref="A6:B6"/>
    <mergeCell ref="A17:B17"/>
  </mergeCells>
  <conditionalFormatting sqref="G3">
    <cfRule type="cellIs" dxfId="1712" priority="17" operator="between">
      <formula>TODAY()</formula>
      <formula>TODAY()+10</formula>
    </cfRule>
  </conditionalFormatting>
  <conditionalFormatting sqref="G4">
    <cfRule type="cellIs" dxfId="1711" priority="12" operator="between">
      <formula>TODAY()</formula>
      <formula>TODAY()+10</formula>
    </cfRule>
  </conditionalFormatting>
  <conditionalFormatting sqref="G5">
    <cfRule type="cellIs" dxfId="1710" priority="7" operator="between">
      <formula>TODAY()</formula>
      <formula>TODAY()+10</formula>
    </cfRule>
  </conditionalFormatting>
  <conditionalFormatting sqref="G16">
    <cfRule type="cellIs" dxfId="1709" priority="5" operator="between">
      <formula>TODAY()</formula>
      <formula>TODAY()+10</formula>
    </cfRule>
  </conditionalFormatting>
  <dataValidations count="4">
    <dataValidation type="list" allowBlank="1" showInputMessage="1" showErrorMessage="1" sqref="F14 F3:F4 F16:F24">
      <formula1>PLAZOdePAGO2</formula1>
    </dataValidation>
    <dataValidation type="list" allowBlank="1" showInputMessage="1" showErrorMessage="1" sqref="E14 E3:E4 E16:E24">
      <formula1>PLAZOdePAGO</formula1>
    </dataValidation>
    <dataValidation type="list" allowBlank="1" showInputMessage="1" showErrorMessage="1" sqref="C3:C4 C16">
      <formula1>PROVEEDORES</formula1>
    </dataValidation>
    <dataValidation type="list" allowBlank="1" showInputMessage="1" showErrorMessage="1" sqref="B3:B4 B16">
      <formula1>MATERIALES</formula1>
    </dataValidation>
  </dataValidation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showGridLines="0" workbookViewId="0">
      <selection activeCell="A4" sqref="A4:XFD13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677</v>
      </c>
      <c r="B3" s="1" t="s">
        <v>687</v>
      </c>
      <c r="C3" s="107" t="s">
        <v>7</v>
      </c>
      <c r="D3" s="12" t="s">
        <v>719</v>
      </c>
      <c r="E3" s="5" t="s">
        <v>5</v>
      </c>
      <c r="F3" s="6"/>
      <c r="G3" s="7">
        <v>43216</v>
      </c>
      <c r="H3" s="9">
        <v>1540.5</v>
      </c>
      <c r="I3" s="8">
        <v>158</v>
      </c>
      <c r="J3" s="8">
        <f>+I3*H3</f>
        <v>243399</v>
      </c>
      <c r="K3" s="106">
        <v>43189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92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627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 t="s">
        <v>410</v>
      </c>
      <c r="D7" s="73"/>
      <c r="E7" s="37"/>
      <c r="F7" s="37"/>
      <c r="G7" s="37"/>
      <c r="H7" s="18"/>
      <c r="I7" s="18"/>
      <c r="J7" s="18"/>
      <c r="K7" s="19"/>
      <c r="L7" s="108"/>
    </row>
    <row r="8" spans="1:16" x14ac:dyDescent="0.3">
      <c r="A8" s="49"/>
      <c r="B8" s="17" t="s">
        <v>81</v>
      </c>
      <c r="C8" s="45" t="s">
        <v>424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 t="s">
        <v>412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 t="s">
        <v>720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165</v>
      </c>
      <c r="C11" s="45" t="s">
        <v>107</v>
      </c>
      <c r="D11" s="73"/>
      <c r="E11" s="37"/>
      <c r="F11" s="37"/>
      <c r="G11" s="37"/>
      <c r="H11" s="18"/>
      <c r="I11" s="18"/>
      <c r="J11" s="18"/>
      <c r="K11" s="19"/>
      <c r="L11" s="108"/>
    </row>
    <row r="12" spans="1:16" x14ac:dyDescent="0.3">
      <c r="A12" s="49"/>
      <c r="B12" s="17" t="s">
        <v>85</v>
      </c>
      <c r="C12" s="45" t="s">
        <v>108</v>
      </c>
      <c r="D12" s="73"/>
      <c r="E12" s="37"/>
      <c r="F12" s="37"/>
      <c r="G12" s="37"/>
      <c r="H12" s="18"/>
      <c r="I12" s="18"/>
      <c r="J12" s="18"/>
      <c r="K12" s="19"/>
      <c r="L12" s="108"/>
    </row>
    <row r="13" spans="1:16" ht="15" x14ac:dyDescent="0.25">
      <c r="A13" s="50"/>
      <c r="B13" s="21"/>
      <c r="C13" s="111"/>
      <c r="D13" s="74"/>
      <c r="E13" s="38"/>
      <c r="F13" s="38"/>
      <c r="G13" s="38"/>
      <c r="H13" s="22"/>
      <c r="I13" s="22"/>
      <c r="J13" s="22"/>
      <c r="K13" s="23"/>
      <c r="L13" s="108"/>
    </row>
  </sheetData>
  <mergeCells count="2">
    <mergeCell ref="L1:P1"/>
    <mergeCell ref="A4:B4"/>
  </mergeCells>
  <conditionalFormatting sqref="G3">
    <cfRule type="cellIs" dxfId="1708" priority="3" operator="between">
      <formula>TODAY()</formula>
      <formula>TODAY()+10</formula>
    </cfRule>
  </conditionalFormatting>
  <dataValidations count="3">
    <dataValidation type="list" allowBlank="1" showInputMessage="1" showErrorMessage="1" sqref="C4 C7:C13">
      <formula1>PROVEEDORES</formula1>
    </dataValidation>
    <dataValidation type="list" allowBlank="1" showInputMessage="1" showErrorMessage="1" sqref="F4:F13">
      <formula1>PLAZOdePAGO2</formula1>
    </dataValidation>
    <dataValidation type="list" allowBlank="1" showInputMessage="1" showErrorMessage="1" sqref="E4:E13">
      <formula1>PLAZOdePAGO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L30" sqref="L30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717</v>
      </c>
      <c r="B3" s="1" t="s">
        <v>687</v>
      </c>
      <c r="C3" s="107" t="s">
        <v>7</v>
      </c>
      <c r="D3" s="109">
        <v>20180453</v>
      </c>
      <c r="E3" s="5" t="s">
        <v>5</v>
      </c>
      <c r="F3" s="6"/>
      <c r="G3" s="7">
        <v>43220</v>
      </c>
      <c r="H3" s="9">
        <v>52</v>
      </c>
      <c r="I3" s="8">
        <v>168</v>
      </c>
      <c r="J3" s="8">
        <v>8736</v>
      </c>
      <c r="K3" s="106">
        <v>43189</v>
      </c>
      <c r="L3" s="10" t="s">
        <v>110</v>
      </c>
    </row>
    <row r="4" spans="1:16" ht="15" x14ac:dyDescent="0.25">
      <c r="A4" s="48" t="s">
        <v>721</v>
      </c>
      <c r="B4" s="1" t="s">
        <v>687</v>
      </c>
      <c r="C4" s="107" t="s">
        <v>7</v>
      </c>
      <c r="D4" s="109">
        <v>20180452</v>
      </c>
      <c r="E4" s="5" t="s">
        <v>5</v>
      </c>
      <c r="F4" s="6"/>
      <c r="G4" s="7">
        <v>43220</v>
      </c>
      <c r="H4" s="9">
        <v>650</v>
      </c>
      <c r="I4" s="8">
        <v>168</v>
      </c>
      <c r="J4" s="8">
        <v>109200</v>
      </c>
      <c r="K4" s="106">
        <v>43189</v>
      </c>
      <c r="L4" s="10" t="s">
        <v>110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 t="s">
        <v>92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37" t="s">
        <v>627</v>
      </c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45" t="s">
        <v>645</v>
      </c>
      <c r="D8" s="73"/>
      <c r="E8" s="37"/>
      <c r="F8" s="37"/>
      <c r="G8" s="37"/>
      <c r="H8" s="18"/>
      <c r="I8" s="18"/>
      <c r="J8" s="18"/>
      <c r="K8" s="19"/>
      <c r="L8" s="108"/>
    </row>
    <row r="9" spans="1:16" x14ac:dyDescent="0.3">
      <c r="A9" s="49"/>
      <c r="B9" s="17" t="s">
        <v>81</v>
      </c>
      <c r="C9" s="45" t="s">
        <v>471</v>
      </c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49"/>
      <c r="B10" s="17" t="s">
        <v>169</v>
      </c>
      <c r="C10" s="45" t="s">
        <v>472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5" t="s">
        <v>646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165</v>
      </c>
      <c r="C12" s="45" t="s">
        <v>647</v>
      </c>
      <c r="D12" s="73"/>
      <c r="E12" s="37"/>
      <c r="F12" s="37"/>
      <c r="G12" s="37"/>
      <c r="H12" s="18"/>
      <c r="I12" s="18"/>
      <c r="J12" s="18"/>
      <c r="K12" s="19"/>
      <c r="L12" s="108"/>
    </row>
    <row r="13" spans="1:16" x14ac:dyDescent="0.3">
      <c r="A13" s="49"/>
      <c r="B13" s="17" t="s">
        <v>81</v>
      </c>
      <c r="C13" s="45" t="s">
        <v>673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45" t="s">
        <v>648</v>
      </c>
      <c r="D14" s="73"/>
      <c r="E14" s="37"/>
      <c r="F14" s="37"/>
      <c r="G14" s="37"/>
      <c r="H14" s="18"/>
      <c r="I14" s="18"/>
      <c r="J14" s="18"/>
      <c r="K14" s="19"/>
      <c r="L14" s="108"/>
    </row>
    <row r="15" spans="1:16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  <c r="L15" s="108"/>
    </row>
    <row r="16" spans="1:16" ht="3.75" customHeight="1" x14ac:dyDescent="0.25">
      <c r="A16" s="47"/>
      <c r="B16" s="24"/>
      <c r="C16" s="24"/>
      <c r="D16" s="71"/>
      <c r="E16" s="24"/>
      <c r="F16" s="24"/>
      <c r="G16" s="24"/>
      <c r="H16" s="24"/>
      <c r="I16" s="24"/>
      <c r="J16" s="24"/>
      <c r="K16" s="24"/>
    </row>
    <row r="17" spans="1:12" x14ac:dyDescent="0.3">
      <c r="A17" s="48" t="s">
        <v>323</v>
      </c>
      <c r="B17" s="1" t="s">
        <v>328</v>
      </c>
      <c r="C17" s="107" t="s">
        <v>42</v>
      </c>
      <c r="D17" s="109">
        <v>50414960</v>
      </c>
      <c r="E17" s="5">
        <v>90</v>
      </c>
      <c r="F17" s="6" t="s">
        <v>20</v>
      </c>
      <c r="G17" s="7">
        <v>43223</v>
      </c>
      <c r="H17" s="9">
        <v>4.2</v>
      </c>
      <c r="I17" s="8">
        <v>12970</v>
      </c>
      <c r="J17" s="8">
        <f>+H17*I17</f>
        <v>54474</v>
      </c>
      <c r="K17" s="106">
        <v>43223</v>
      </c>
      <c r="L17" s="10" t="s">
        <v>110</v>
      </c>
    </row>
    <row r="18" spans="1:12" x14ac:dyDescent="0.3">
      <c r="A18" s="48" t="s">
        <v>324</v>
      </c>
      <c r="B18" s="1" t="s">
        <v>329</v>
      </c>
      <c r="C18" s="107" t="s">
        <v>42</v>
      </c>
      <c r="D18" s="109">
        <v>50414960</v>
      </c>
      <c r="E18" s="5">
        <v>90</v>
      </c>
      <c r="F18" s="6" t="s">
        <v>20</v>
      </c>
      <c r="G18" s="7">
        <v>43223</v>
      </c>
      <c r="H18" s="9">
        <v>2.1</v>
      </c>
      <c r="I18" s="8">
        <v>5450</v>
      </c>
      <c r="J18" s="8">
        <f>+H18*I18</f>
        <v>11445</v>
      </c>
      <c r="K18" s="106">
        <v>43223</v>
      </c>
      <c r="L18" s="10" t="s">
        <v>110</v>
      </c>
    </row>
    <row r="19" spans="1:12" x14ac:dyDescent="0.3">
      <c r="A19" s="48" t="s">
        <v>325</v>
      </c>
      <c r="B19" s="1" t="s">
        <v>330</v>
      </c>
      <c r="C19" s="107" t="s">
        <v>42</v>
      </c>
      <c r="D19" s="109">
        <v>50414960</v>
      </c>
      <c r="E19" s="5">
        <v>90</v>
      </c>
      <c r="F19" s="6" t="s">
        <v>20</v>
      </c>
      <c r="G19" s="7">
        <v>43223</v>
      </c>
      <c r="H19" s="9">
        <v>2.1</v>
      </c>
      <c r="I19" s="8">
        <v>5450</v>
      </c>
      <c r="J19" s="8">
        <f>+H19*I19</f>
        <v>11445</v>
      </c>
      <c r="K19" s="106">
        <v>43223</v>
      </c>
      <c r="L19" s="10" t="s">
        <v>110</v>
      </c>
    </row>
    <row r="20" spans="1:12" ht="18.75" x14ac:dyDescent="0.3">
      <c r="A20" s="531" t="s">
        <v>91</v>
      </c>
      <c r="B20" s="532"/>
      <c r="C20" s="13"/>
      <c r="D20" s="72"/>
      <c r="E20" s="13"/>
      <c r="F20" s="13"/>
      <c r="G20" s="13"/>
      <c r="H20" s="13"/>
      <c r="I20" s="13"/>
      <c r="J20" s="13"/>
      <c r="K20" s="14"/>
    </row>
    <row r="21" spans="1:12" x14ac:dyDescent="0.3">
      <c r="A21" s="49"/>
      <c r="B21" s="17" t="s">
        <v>76</v>
      </c>
      <c r="C21" s="37"/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83</v>
      </c>
      <c r="C22" s="37"/>
      <c r="D22" s="73"/>
      <c r="E22" s="37"/>
      <c r="F22" s="37"/>
      <c r="G22" s="37"/>
      <c r="H22" s="18"/>
      <c r="I22" s="59"/>
      <c r="J22" s="18"/>
      <c r="K22" s="19"/>
    </row>
    <row r="23" spans="1:12" x14ac:dyDescent="0.3">
      <c r="A23" s="49"/>
      <c r="B23" s="17" t="s">
        <v>81</v>
      </c>
      <c r="C23" s="37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98</v>
      </c>
      <c r="C24" s="44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84</v>
      </c>
      <c r="C25" s="44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4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21"/>
      <c r="D27" s="74"/>
      <c r="E27" s="21"/>
      <c r="F27" s="21"/>
      <c r="G27" s="21"/>
      <c r="H27" s="22"/>
      <c r="I27" s="22"/>
      <c r="J27" s="22"/>
      <c r="K27" s="23"/>
    </row>
    <row r="28" spans="1:12" ht="3.75" customHeight="1" x14ac:dyDescent="0.25">
      <c r="A28" s="47"/>
      <c r="B28" s="24"/>
      <c r="C28" s="24"/>
      <c r="D28" s="71"/>
      <c r="E28" s="24"/>
      <c r="F28" s="24"/>
      <c r="G28" s="24"/>
      <c r="H28" s="24"/>
      <c r="I28" s="24"/>
      <c r="J28" s="24"/>
      <c r="K28" s="24"/>
    </row>
    <row r="29" spans="1:12" x14ac:dyDescent="0.3">
      <c r="A29" s="48" t="s">
        <v>532</v>
      </c>
      <c r="B29" s="1" t="s">
        <v>32</v>
      </c>
      <c r="C29" s="107" t="s">
        <v>15</v>
      </c>
      <c r="D29" s="109" t="s">
        <v>456</v>
      </c>
      <c r="E29" s="5">
        <v>90</v>
      </c>
      <c r="F29" s="6" t="s">
        <v>20</v>
      </c>
      <c r="G29" s="7">
        <v>43224</v>
      </c>
      <c r="H29" s="9">
        <v>11900</v>
      </c>
      <c r="I29" s="8">
        <v>263.5</v>
      </c>
      <c r="J29" s="8">
        <v>3135650</v>
      </c>
      <c r="K29" s="106">
        <v>43135</v>
      </c>
      <c r="L29" s="10" t="s">
        <v>110</v>
      </c>
    </row>
    <row r="30" spans="1:12" x14ac:dyDescent="0.3">
      <c r="A30" s="48" t="s">
        <v>533</v>
      </c>
      <c r="B30" s="1" t="s">
        <v>33</v>
      </c>
      <c r="C30" s="107" t="s">
        <v>15</v>
      </c>
      <c r="D30" s="109" t="s">
        <v>456</v>
      </c>
      <c r="E30" s="5">
        <v>90</v>
      </c>
      <c r="F30" s="6" t="s">
        <v>20</v>
      </c>
      <c r="G30" s="7">
        <v>43224</v>
      </c>
      <c r="H30" s="9">
        <v>3600</v>
      </c>
      <c r="I30" s="8">
        <v>273.5</v>
      </c>
      <c r="J30" s="8">
        <v>984600</v>
      </c>
      <c r="K30" s="106">
        <v>43135</v>
      </c>
      <c r="L30" s="10" t="s">
        <v>110</v>
      </c>
    </row>
    <row r="31" spans="1:12" ht="18.75" x14ac:dyDescent="0.3">
      <c r="A31" s="531" t="s">
        <v>91</v>
      </c>
      <c r="B31" s="532"/>
      <c r="C31" s="13"/>
      <c r="D31" s="72"/>
      <c r="E31" s="13"/>
      <c r="F31" s="13"/>
      <c r="G31" s="13"/>
      <c r="H31" s="13"/>
      <c r="I31" s="13"/>
      <c r="J31" s="13"/>
      <c r="K31" s="14"/>
    </row>
    <row r="32" spans="1:12" x14ac:dyDescent="0.3">
      <c r="A32" s="49"/>
      <c r="B32" s="17" t="s">
        <v>76</v>
      </c>
      <c r="C32" s="37"/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78</v>
      </c>
      <c r="C33" s="37"/>
      <c r="D33" s="73"/>
      <c r="E33" s="37"/>
      <c r="F33" s="37"/>
      <c r="G33" s="37"/>
      <c r="H33" s="18"/>
      <c r="I33" s="59"/>
      <c r="J33" s="18"/>
      <c r="K33" s="19"/>
    </row>
    <row r="34" spans="1:12" x14ac:dyDescent="0.3">
      <c r="A34" s="49"/>
      <c r="B34" s="56" t="s">
        <v>98</v>
      </c>
      <c r="C34" s="45"/>
      <c r="D34" s="73"/>
      <c r="E34" s="37"/>
      <c r="F34" s="37"/>
      <c r="G34" s="37"/>
      <c r="H34" s="18"/>
      <c r="I34" s="18"/>
      <c r="J34" s="18"/>
      <c r="K34" s="19"/>
      <c r="L34" s="108"/>
    </row>
    <row r="35" spans="1:12" x14ac:dyDescent="0.3">
      <c r="A35" s="49"/>
      <c r="B35" s="17" t="s">
        <v>81</v>
      </c>
      <c r="C35" s="45"/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169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49"/>
      <c r="B37" s="17" t="s">
        <v>85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56" t="s">
        <v>165</v>
      </c>
      <c r="C38" s="45"/>
      <c r="D38" s="73"/>
      <c r="E38" s="37"/>
      <c r="F38" s="37"/>
      <c r="G38" s="37"/>
      <c r="H38" s="18"/>
      <c r="I38" s="18"/>
      <c r="J38" s="18"/>
      <c r="K38" s="19"/>
      <c r="L38" s="108"/>
    </row>
    <row r="39" spans="1:12" x14ac:dyDescent="0.3">
      <c r="A39" s="49"/>
      <c r="B39" s="17" t="s">
        <v>81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17" t="s">
        <v>85</v>
      </c>
      <c r="C40" s="45"/>
      <c r="D40" s="73"/>
      <c r="E40" s="37"/>
      <c r="F40" s="37"/>
      <c r="G40" s="37"/>
      <c r="H40" s="18"/>
      <c r="I40" s="18"/>
      <c r="J40" s="18"/>
      <c r="K40" s="19"/>
      <c r="L40" s="108"/>
    </row>
    <row r="41" spans="1:12" x14ac:dyDescent="0.3">
      <c r="A41" s="50"/>
      <c r="B41" s="21"/>
      <c r="C41" s="111"/>
      <c r="D41" s="74"/>
      <c r="E41" s="38"/>
      <c r="F41" s="38"/>
      <c r="G41" s="38"/>
      <c r="H41" s="22"/>
      <c r="I41" s="22"/>
      <c r="J41" s="22"/>
      <c r="K41" s="23"/>
      <c r="L41" s="108"/>
    </row>
  </sheetData>
  <mergeCells count="4">
    <mergeCell ref="L1:P1"/>
    <mergeCell ref="A5:B5"/>
    <mergeCell ref="A20:B20"/>
    <mergeCell ref="A31:B31"/>
  </mergeCells>
  <conditionalFormatting sqref="G3:G4">
    <cfRule type="cellIs" dxfId="1707" priority="4" operator="between">
      <formula>TODAY()</formula>
      <formula>TODAY()+10</formula>
    </cfRule>
  </conditionalFormatting>
  <conditionalFormatting sqref="G17:G19">
    <cfRule type="cellIs" dxfId="1706" priority="2" operator="between">
      <formula>TODAY()</formula>
      <formula>TODAY()+10</formula>
    </cfRule>
  </conditionalFormatting>
  <conditionalFormatting sqref="G29:G30">
    <cfRule type="cellIs" dxfId="1705" priority="1" operator="between">
      <formula>TODAY()</formula>
      <formula>TODAY()+10</formula>
    </cfRule>
  </conditionalFormatting>
  <dataValidations count="3">
    <dataValidation type="list" allowBlank="1" showInputMessage="1" showErrorMessage="1" sqref="C8:C15 C5 C34:C41 C31">
      <formula1>PROVEEDORES</formula1>
    </dataValidation>
    <dataValidation type="list" allowBlank="1" showInputMessage="1" showErrorMessage="1" sqref="E5:E15 E20:E27 E31:E41">
      <formula1>PLAZOdePAGO</formula1>
    </dataValidation>
    <dataValidation type="list" allowBlank="1" showInputMessage="1" showErrorMessage="1" sqref="F5:F15 F20:F27 F31:F41">
      <formula1>PLAZOdePAGO2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showGridLines="0" workbookViewId="0">
      <selection activeCell="C29" sqref="C29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708</v>
      </c>
      <c r="B3" s="1" t="s">
        <v>33</v>
      </c>
      <c r="C3" s="107" t="s">
        <v>27</v>
      </c>
      <c r="D3" s="109" t="s">
        <v>706</v>
      </c>
      <c r="E3" s="5" t="s">
        <v>5</v>
      </c>
      <c r="F3" s="6"/>
      <c r="G3" s="7">
        <v>43228</v>
      </c>
      <c r="H3" s="9">
        <v>4900</v>
      </c>
      <c r="I3" s="8">
        <v>280.7</v>
      </c>
      <c r="J3" s="8">
        <f>+I3*H3</f>
        <v>1375430</v>
      </c>
      <c r="K3" s="106"/>
      <c r="L3" s="10" t="s">
        <v>406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123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 t="s">
        <v>738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17" t="s">
        <v>81</v>
      </c>
      <c r="C7" s="37" t="s">
        <v>739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56" t="s">
        <v>98</v>
      </c>
      <c r="C8" s="44" t="s">
        <v>740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741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 t="s">
        <v>122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165</v>
      </c>
      <c r="C11" s="45" t="s">
        <v>742</v>
      </c>
      <c r="D11" s="73"/>
      <c r="E11" s="37"/>
      <c r="F11" s="37"/>
      <c r="G11" s="37"/>
      <c r="H11" s="18"/>
      <c r="I11" s="18"/>
      <c r="J11" s="18"/>
      <c r="K11" s="19"/>
      <c r="L11" s="108"/>
    </row>
    <row r="12" spans="1:16" x14ac:dyDescent="0.3">
      <c r="A12" s="49"/>
      <c r="B12" s="17" t="s">
        <v>85</v>
      </c>
      <c r="C12" s="45" t="s">
        <v>469</v>
      </c>
      <c r="D12" s="73"/>
      <c r="E12" s="37"/>
      <c r="F12" s="37"/>
      <c r="G12" s="37"/>
      <c r="H12" s="18"/>
      <c r="I12" s="18"/>
      <c r="J12" s="18"/>
      <c r="K12" s="19"/>
      <c r="L12" s="108"/>
    </row>
    <row r="13" spans="1:16" ht="15" x14ac:dyDescent="0.25">
      <c r="A13" s="50"/>
      <c r="B13" s="21"/>
      <c r="C13" s="21"/>
      <c r="D13" s="74"/>
      <c r="E13" s="21"/>
      <c r="F13" s="21"/>
      <c r="G13" s="21"/>
      <c r="H13" s="22"/>
      <c r="I13" s="22"/>
      <c r="J13" s="22"/>
      <c r="K13" s="23"/>
    </row>
    <row r="14" spans="1:16" ht="3.75" customHeight="1" x14ac:dyDescent="0.25">
      <c r="A14" s="47"/>
      <c r="B14" s="24"/>
      <c r="C14" s="24"/>
      <c r="D14" s="71"/>
      <c r="E14" s="24"/>
      <c r="F14" s="24"/>
      <c r="G14" s="24"/>
      <c r="H14" s="24"/>
      <c r="I14" s="24"/>
      <c r="J14" s="24"/>
      <c r="K14" s="24"/>
    </row>
    <row r="15" spans="1:16" x14ac:dyDescent="0.3">
      <c r="A15" s="48" t="s">
        <v>559</v>
      </c>
      <c r="B15" s="1" t="s">
        <v>575</v>
      </c>
      <c r="C15" s="107" t="s">
        <v>44</v>
      </c>
      <c r="D15" s="109" t="s">
        <v>698</v>
      </c>
      <c r="E15" s="5">
        <v>90</v>
      </c>
      <c r="F15" s="6" t="s">
        <v>20</v>
      </c>
      <c r="G15" s="7">
        <f>+K15+E15</f>
        <v>43229</v>
      </c>
      <c r="H15" s="9">
        <v>17.236509999999999</v>
      </c>
      <c r="I15" s="8">
        <f>+J15/H15</f>
        <v>2247.984075662649</v>
      </c>
      <c r="J15" s="8">
        <v>38747.4</v>
      </c>
      <c r="K15" s="106">
        <v>43139</v>
      </c>
      <c r="L15" s="10" t="s">
        <v>406</v>
      </c>
    </row>
    <row r="16" spans="1:16" ht="18.75" x14ac:dyDescent="0.3">
      <c r="A16" s="531" t="s">
        <v>91</v>
      </c>
      <c r="B16" s="532"/>
      <c r="C16" s="13"/>
      <c r="D16" s="72"/>
      <c r="E16" s="13"/>
      <c r="F16" s="13"/>
      <c r="G16" s="13"/>
      <c r="H16" s="13"/>
      <c r="I16" s="13"/>
      <c r="J16" s="13"/>
      <c r="K16" s="14"/>
    </row>
    <row r="17" spans="1:11" x14ac:dyDescent="0.3">
      <c r="A17" s="49"/>
      <c r="B17" s="17" t="s">
        <v>76</v>
      </c>
      <c r="C17" s="37"/>
      <c r="D17" s="73"/>
      <c r="E17" s="37"/>
      <c r="F17" s="37"/>
      <c r="G17" s="37"/>
      <c r="H17" s="18"/>
      <c r="I17" s="18"/>
      <c r="J17" s="18"/>
      <c r="K17" s="19"/>
    </row>
    <row r="18" spans="1:11" x14ac:dyDescent="0.3">
      <c r="A18" s="49"/>
      <c r="B18" s="17" t="s">
        <v>83</v>
      </c>
      <c r="C18" s="37"/>
      <c r="D18" s="73"/>
      <c r="E18" s="37"/>
      <c r="F18" s="37"/>
      <c r="G18" s="37"/>
      <c r="H18" s="18"/>
      <c r="I18" s="59"/>
      <c r="J18" s="18"/>
      <c r="K18" s="19"/>
    </row>
    <row r="19" spans="1:11" x14ac:dyDescent="0.3">
      <c r="A19" s="49"/>
      <c r="B19" s="17" t="s">
        <v>81</v>
      </c>
      <c r="C19" s="37"/>
      <c r="D19" s="73"/>
      <c r="E19" s="37"/>
      <c r="F19" s="37"/>
      <c r="G19" s="37"/>
      <c r="H19" s="18"/>
      <c r="I19" s="18"/>
      <c r="J19" s="18"/>
      <c r="K19" s="19"/>
    </row>
    <row r="20" spans="1:11" x14ac:dyDescent="0.3">
      <c r="A20" s="49"/>
      <c r="B20" s="56" t="s">
        <v>98</v>
      </c>
      <c r="C20" s="44"/>
      <c r="D20" s="73"/>
      <c r="E20" s="37"/>
      <c r="F20" s="37"/>
      <c r="G20" s="37"/>
      <c r="H20" s="18"/>
      <c r="I20" s="18"/>
      <c r="J20" s="18"/>
      <c r="K20" s="19"/>
    </row>
    <row r="21" spans="1:11" x14ac:dyDescent="0.3">
      <c r="A21" s="49"/>
      <c r="B21" s="17" t="s">
        <v>84</v>
      </c>
      <c r="C21" s="44"/>
      <c r="D21" s="73"/>
      <c r="E21" s="37"/>
      <c r="F21" s="37"/>
      <c r="G21" s="37"/>
      <c r="H21" s="18"/>
      <c r="I21" s="18"/>
      <c r="J21" s="18"/>
      <c r="K21" s="19"/>
    </row>
    <row r="22" spans="1:11" x14ac:dyDescent="0.3">
      <c r="A22" s="49"/>
      <c r="B22" s="17" t="s">
        <v>85</v>
      </c>
      <c r="C22" s="44"/>
      <c r="D22" s="73"/>
      <c r="E22" s="37"/>
      <c r="F22" s="37"/>
      <c r="G22" s="37"/>
      <c r="H22" s="18"/>
      <c r="I22" s="18"/>
      <c r="J22" s="18"/>
      <c r="K22" s="19"/>
    </row>
    <row r="23" spans="1:11" ht="15" x14ac:dyDescent="0.25">
      <c r="A23" s="50"/>
      <c r="B23" s="21"/>
      <c r="C23" s="21"/>
      <c r="D23" s="74"/>
      <c r="E23" s="21"/>
      <c r="F23" s="21"/>
      <c r="G23" s="21"/>
      <c r="H23" s="22"/>
      <c r="I23" s="22"/>
      <c r="J23" s="22"/>
      <c r="K23" s="23"/>
    </row>
  </sheetData>
  <mergeCells count="3">
    <mergeCell ref="L1:P1"/>
    <mergeCell ref="A4:B4"/>
    <mergeCell ref="A16:B16"/>
  </mergeCells>
  <conditionalFormatting sqref="G3">
    <cfRule type="cellIs" dxfId="1704" priority="8" operator="between">
      <formula>TODAY()</formula>
      <formula>TODAY()+10</formula>
    </cfRule>
  </conditionalFormatting>
  <conditionalFormatting sqref="G15">
    <cfRule type="cellIs" dxfId="1703" priority="1" operator="between">
      <formula>TODAY()</formula>
      <formula>TODAY()+10</formula>
    </cfRule>
  </conditionalFormatting>
  <dataValidations count="4">
    <dataValidation type="list" allowBlank="1" showInputMessage="1" showErrorMessage="1" sqref="F15:F23 F3:F13">
      <formula1>PLAZOdePAGO2</formula1>
    </dataValidation>
    <dataValidation type="list" allowBlank="1" showInputMessage="1" showErrorMessage="1" sqref="E15:E23 E3:E13">
      <formula1>PLAZOdePAGO</formula1>
    </dataValidation>
    <dataValidation type="list" allowBlank="1" showInputMessage="1" showErrorMessage="1" sqref="C3 C15 C11:C12">
      <formula1>PROVEEDORES</formula1>
    </dataValidation>
    <dataValidation type="list" allowBlank="1" showInputMessage="1" showErrorMessage="1" sqref="B3 B15">
      <formula1>MATERIALES</formula1>
    </dataValidation>
  </dataValidation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workbookViewId="0">
      <selection activeCell="A4" sqref="A4:XFD9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11.44140625" style="10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578</v>
      </c>
      <c r="B3" s="1" t="s">
        <v>12</v>
      </c>
      <c r="C3" s="107" t="s">
        <v>280</v>
      </c>
      <c r="D3" s="109" t="s">
        <v>699</v>
      </c>
      <c r="E3" s="5">
        <v>60</v>
      </c>
      <c r="F3" s="6" t="s">
        <v>20</v>
      </c>
      <c r="G3" s="7">
        <v>43237</v>
      </c>
      <c r="H3" s="9">
        <v>900</v>
      </c>
      <c r="I3" s="8">
        <v>141</v>
      </c>
      <c r="J3" s="8">
        <v>126900</v>
      </c>
      <c r="K3" s="106">
        <v>43152</v>
      </c>
      <c r="L3" s="10" t="s">
        <v>110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489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56" t="s">
        <v>98</v>
      </c>
      <c r="C6" s="37" t="s">
        <v>490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491</v>
      </c>
      <c r="C7" s="44" t="s">
        <v>492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85</v>
      </c>
      <c r="C8" s="37" t="s">
        <v>493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50"/>
      <c r="B9" s="21"/>
      <c r="C9" s="21"/>
      <c r="D9" s="74"/>
      <c r="E9" s="21"/>
      <c r="F9" s="21"/>
      <c r="G9" s="21"/>
      <c r="H9" s="22"/>
      <c r="I9" s="22"/>
      <c r="J9" s="22"/>
      <c r="K9" s="23"/>
    </row>
  </sheetData>
  <mergeCells count="2">
    <mergeCell ref="L1:P1"/>
    <mergeCell ref="A4:B4"/>
  </mergeCells>
  <conditionalFormatting sqref="G3">
    <cfRule type="cellIs" dxfId="1702" priority="2" operator="between">
      <formula>TODAY()</formula>
      <formula>TODAY()+10</formula>
    </cfRule>
  </conditionalFormatting>
  <dataValidations count="2">
    <dataValidation type="list" allowBlank="1" showInputMessage="1" showErrorMessage="1" sqref="E4:E9">
      <formula1>PLAZOdePAGO</formula1>
    </dataValidation>
    <dataValidation type="list" allowBlank="1" showInputMessage="1" showErrorMessage="1" sqref="F4:F9">
      <formula1>PLAZOdePAGO2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workbookViewId="0">
      <selection activeCell="A5" sqref="A5:XFD5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568</v>
      </c>
      <c r="B3" s="1" t="s">
        <v>359</v>
      </c>
      <c r="C3" s="107" t="s">
        <v>7</v>
      </c>
      <c r="D3" s="109">
        <v>20180238</v>
      </c>
      <c r="E3" s="5">
        <v>90</v>
      </c>
      <c r="F3" s="6" t="s">
        <v>20</v>
      </c>
      <c r="G3" s="7">
        <v>43248</v>
      </c>
      <c r="H3" s="9">
        <v>159</v>
      </c>
      <c r="I3" s="8">
        <v>825</v>
      </c>
      <c r="J3" s="8">
        <v>131175</v>
      </c>
      <c r="K3" s="106">
        <v>43158</v>
      </c>
      <c r="L3" s="10" t="s">
        <v>406</v>
      </c>
    </row>
    <row r="4" spans="1:16" x14ac:dyDescent="0.3">
      <c r="A4" s="48" t="s">
        <v>569</v>
      </c>
      <c r="B4" s="1" t="s">
        <v>359</v>
      </c>
      <c r="C4" s="107" t="s">
        <v>7</v>
      </c>
      <c r="D4" s="109">
        <v>20180239</v>
      </c>
      <c r="E4" s="5">
        <v>90</v>
      </c>
      <c r="F4" s="6" t="s">
        <v>20</v>
      </c>
      <c r="G4" s="7">
        <v>43248</v>
      </c>
      <c r="H4" s="9">
        <v>159</v>
      </c>
      <c r="I4" s="8">
        <v>830</v>
      </c>
      <c r="J4" s="8">
        <v>131970</v>
      </c>
      <c r="K4" s="106">
        <v>43158</v>
      </c>
      <c r="L4" s="10" t="s">
        <v>406</v>
      </c>
    </row>
    <row r="5" spans="1:16" ht="15" x14ac:dyDescent="0.25">
      <c r="A5" s="48" t="s">
        <v>684</v>
      </c>
      <c r="B5" s="1" t="s">
        <v>6</v>
      </c>
      <c r="C5" s="107" t="s">
        <v>7</v>
      </c>
      <c r="D5" s="109" t="s">
        <v>756</v>
      </c>
      <c r="E5" s="5" t="s">
        <v>5</v>
      </c>
      <c r="F5" s="6"/>
      <c r="G5" s="7">
        <v>43248</v>
      </c>
      <c r="H5" s="9">
        <v>400</v>
      </c>
      <c r="I5" s="8">
        <v>518</v>
      </c>
      <c r="J5" s="8">
        <f>+I5*H5</f>
        <v>207200</v>
      </c>
      <c r="K5" s="106"/>
      <c r="L5" s="10" t="s">
        <v>406</v>
      </c>
    </row>
    <row r="6" spans="1:16" ht="15" x14ac:dyDescent="0.25">
      <c r="A6" s="48" t="s">
        <v>722</v>
      </c>
      <c r="B6" s="1" t="s">
        <v>6</v>
      </c>
      <c r="C6" s="107" t="s">
        <v>7</v>
      </c>
      <c r="D6" s="109">
        <v>20180572</v>
      </c>
      <c r="E6" s="5" t="s">
        <v>5</v>
      </c>
      <c r="F6" s="6"/>
      <c r="G6" s="7">
        <v>43248</v>
      </c>
      <c r="H6" s="9">
        <v>1000</v>
      </c>
      <c r="I6" s="8">
        <v>518</v>
      </c>
      <c r="J6" s="8">
        <v>518000</v>
      </c>
      <c r="K6" s="106">
        <v>43218</v>
      </c>
      <c r="L6" s="10" t="s">
        <v>406</v>
      </c>
    </row>
    <row r="7" spans="1:16" ht="15" x14ac:dyDescent="0.25">
      <c r="A7" s="48" t="s">
        <v>734</v>
      </c>
      <c r="B7" s="1" t="s">
        <v>6</v>
      </c>
      <c r="C7" s="107" t="s">
        <v>7</v>
      </c>
      <c r="D7" s="109">
        <v>20180568</v>
      </c>
      <c r="E7" s="5" t="s">
        <v>5</v>
      </c>
      <c r="F7" s="6"/>
      <c r="G7" s="7">
        <v>43248</v>
      </c>
      <c r="H7" s="9">
        <v>125</v>
      </c>
      <c r="I7" s="8">
        <v>518</v>
      </c>
      <c r="J7" s="8">
        <v>64750</v>
      </c>
      <c r="K7" s="106">
        <v>43218</v>
      </c>
      <c r="L7" s="10" t="s">
        <v>406</v>
      </c>
    </row>
    <row r="8" spans="1:16" ht="18.75" x14ac:dyDescent="0.3">
      <c r="A8" s="531" t="s">
        <v>91</v>
      </c>
      <c r="B8" s="532"/>
      <c r="C8" s="13"/>
      <c r="D8" s="72"/>
      <c r="E8" s="13"/>
      <c r="F8" s="13"/>
      <c r="G8" s="13"/>
      <c r="H8" s="13"/>
      <c r="I8" s="13"/>
      <c r="J8" s="13"/>
      <c r="K8" s="14"/>
    </row>
    <row r="9" spans="1:16" x14ac:dyDescent="0.3">
      <c r="A9" s="49"/>
      <c r="B9" s="17" t="s">
        <v>76</v>
      </c>
      <c r="C9" s="37" t="s">
        <v>92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78</v>
      </c>
      <c r="C10" s="37" t="s">
        <v>627</v>
      </c>
      <c r="D10" s="73"/>
      <c r="E10" s="37"/>
      <c r="F10" s="37"/>
      <c r="G10" s="37"/>
      <c r="H10" s="18"/>
      <c r="I10" s="59"/>
      <c r="J10" s="18"/>
      <c r="K10" s="19"/>
    </row>
    <row r="11" spans="1:16" x14ac:dyDescent="0.3">
      <c r="A11" s="49"/>
      <c r="B11" s="56" t="s">
        <v>98</v>
      </c>
      <c r="C11" s="45" t="s">
        <v>410</v>
      </c>
      <c r="D11" s="73"/>
      <c r="E11" s="37"/>
      <c r="F11" s="37"/>
      <c r="G11" s="37"/>
      <c r="H11" s="18"/>
      <c r="I11" s="18"/>
      <c r="J11" s="18"/>
      <c r="K11" s="19"/>
      <c r="L11" s="108"/>
    </row>
    <row r="12" spans="1:16" x14ac:dyDescent="0.3">
      <c r="A12" s="49"/>
      <c r="B12" s="17" t="s">
        <v>81</v>
      </c>
      <c r="C12" s="45" t="s">
        <v>424</v>
      </c>
      <c r="D12" s="73"/>
      <c r="E12" s="37"/>
      <c r="F12" s="37"/>
      <c r="G12" s="37"/>
      <c r="H12" s="18"/>
      <c r="I12" s="18"/>
      <c r="J12" s="18"/>
      <c r="K12" s="19"/>
    </row>
    <row r="13" spans="1:16" ht="15" x14ac:dyDescent="0.25">
      <c r="A13" s="49"/>
      <c r="B13" s="17" t="s">
        <v>169</v>
      </c>
      <c r="C13" s="45" t="s">
        <v>412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45" t="s">
        <v>720</v>
      </c>
      <c r="D14" s="73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56" t="s">
        <v>165</v>
      </c>
      <c r="C15" s="45" t="s">
        <v>107</v>
      </c>
      <c r="D15" s="73"/>
      <c r="E15" s="37"/>
      <c r="F15" s="37"/>
      <c r="G15" s="37"/>
      <c r="H15" s="18"/>
      <c r="I15" s="18"/>
      <c r="J15" s="18"/>
      <c r="K15" s="19"/>
      <c r="L15" s="108"/>
    </row>
    <row r="16" spans="1:16" x14ac:dyDescent="0.3">
      <c r="A16" s="49"/>
      <c r="B16" s="17" t="s">
        <v>85</v>
      </c>
      <c r="C16" s="45" t="s">
        <v>108</v>
      </c>
      <c r="D16" s="73"/>
      <c r="E16" s="37"/>
      <c r="F16" s="37"/>
      <c r="G16" s="37"/>
      <c r="H16" s="18"/>
      <c r="I16" s="18"/>
      <c r="J16" s="18"/>
      <c r="K16" s="19"/>
      <c r="L16" s="108"/>
    </row>
    <row r="17" spans="1:12" ht="15" x14ac:dyDescent="0.25">
      <c r="A17" s="50"/>
      <c r="B17" s="21"/>
      <c r="C17" s="111"/>
      <c r="D17" s="74"/>
      <c r="E17" s="38"/>
      <c r="F17" s="38"/>
      <c r="G17" s="38"/>
      <c r="H17" s="22"/>
      <c r="I17" s="22"/>
      <c r="J17" s="22"/>
      <c r="K17" s="23"/>
      <c r="L17" s="108"/>
    </row>
    <row r="18" spans="1:12" ht="3.75" customHeight="1" x14ac:dyDescent="0.25">
      <c r="A18" s="47"/>
      <c r="B18" s="24"/>
      <c r="C18" s="24"/>
      <c r="D18" s="71"/>
      <c r="E18" s="24"/>
      <c r="F18" s="24"/>
      <c r="G18" s="24"/>
      <c r="H18" s="24"/>
      <c r="I18" s="24"/>
      <c r="J18" s="24"/>
      <c r="K18" s="24"/>
    </row>
    <row r="19" spans="1:12" x14ac:dyDescent="0.3">
      <c r="A19" s="48" t="s">
        <v>718</v>
      </c>
      <c r="B19" s="1" t="s">
        <v>705</v>
      </c>
      <c r="C19" s="107" t="s">
        <v>664</v>
      </c>
      <c r="D19" s="109" t="s">
        <v>757</v>
      </c>
      <c r="E19" s="5">
        <v>30</v>
      </c>
      <c r="F19" s="6" t="s">
        <v>20</v>
      </c>
      <c r="G19" s="7">
        <v>43249</v>
      </c>
      <c r="H19" s="9">
        <v>52</v>
      </c>
      <c r="I19" s="8">
        <v>280</v>
      </c>
      <c r="J19" s="8">
        <v>14560</v>
      </c>
      <c r="K19" s="106">
        <v>43219</v>
      </c>
      <c r="L19" s="10" t="s">
        <v>406</v>
      </c>
    </row>
    <row r="20" spans="1:12" ht="18.75" x14ac:dyDescent="0.3">
      <c r="A20" s="531" t="s">
        <v>91</v>
      </c>
      <c r="B20" s="532"/>
      <c r="C20" s="13"/>
      <c r="D20" s="72"/>
      <c r="E20" s="13"/>
      <c r="F20" s="13"/>
      <c r="G20" s="13"/>
      <c r="H20" s="13"/>
      <c r="I20" s="13"/>
      <c r="J20" s="13"/>
      <c r="K20" s="14"/>
    </row>
    <row r="21" spans="1:12" x14ac:dyDescent="0.3">
      <c r="A21" s="49"/>
      <c r="B21" s="17" t="s">
        <v>76</v>
      </c>
      <c r="C21" s="37"/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78</v>
      </c>
      <c r="C22" s="37"/>
      <c r="D22" s="73"/>
      <c r="E22" s="37"/>
      <c r="F22" s="37"/>
      <c r="G22" s="37"/>
      <c r="H22" s="18"/>
      <c r="I22" s="59"/>
      <c r="J22" s="18"/>
      <c r="K22" s="19"/>
    </row>
    <row r="23" spans="1:12" x14ac:dyDescent="0.3">
      <c r="A23" s="49"/>
      <c r="B23" s="56" t="s">
        <v>98</v>
      </c>
      <c r="C23" s="45"/>
      <c r="D23" s="73"/>
      <c r="E23" s="37"/>
      <c r="F23" s="37"/>
      <c r="G23" s="37"/>
      <c r="H23" s="18"/>
      <c r="I23" s="18"/>
      <c r="J23" s="18"/>
      <c r="K23" s="19"/>
      <c r="L23" s="108"/>
    </row>
    <row r="24" spans="1:12" x14ac:dyDescent="0.3">
      <c r="A24" s="49"/>
      <c r="B24" s="17" t="s">
        <v>81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ht="15" x14ac:dyDescent="0.25">
      <c r="A25" s="49"/>
      <c r="B25" s="17" t="s">
        <v>169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56" t="s">
        <v>165</v>
      </c>
      <c r="C27" s="45"/>
      <c r="D27" s="73"/>
      <c r="E27" s="37"/>
      <c r="F27" s="37"/>
      <c r="G27" s="37"/>
      <c r="H27" s="18"/>
      <c r="I27" s="18"/>
      <c r="J27" s="18"/>
      <c r="K27" s="19"/>
      <c r="L27" s="108"/>
    </row>
    <row r="28" spans="1:12" x14ac:dyDescent="0.3">
      <c r="A28" s="49"/>
      <c r="B28" s="17" t="s">
        <v>81</v>
      </c>
      <c r="C28" s="45"/>
      <c r="D28" s="73"/>
      <c r="E28" s="37"/>
      <c r="F28" s="37"/>
      <c r="G28" s="37"/>
      <c r="H28" s="18"/>
      <c r="I28" s="18"/>
      <c r="J28" s="18"/>
      <c r="K28" s="19"/>
    </row>
    <row r="29" spans="1:12" x14ac:dyDescent="0.3">
      <c r="A29" s="49"/>
      <c r="B29" s="17" t="s">
        <v>85</v>
      </c>
      <c r="C29" s="45"/>
      <c r="D29" s="73"/>
      <c r="E29" s="37"/>
      <c r="F29" s="37"/>
      <c r="G29" s="37"/>
      <c r="H29" s="18"/>
      <c r="I29" s="18"/>
      <c r="J29" s="18"/>
      <c r="K29" s="19"/>
      <c r="L29" s="108"/>
    </row>
    <row r="30" spans="1:12" ht="15" x14ac:dyDescent="0.25">
      <c r="A30" s="50"/>
      <c r="B30" s="21"/>
      <c r="C30" s="111"/>
      <c r="D30" s="74"/>
      <c r="E30" s="38"/>
      <c r="F30" s="38"/>
      <c r="G30" s="38"/>
      <c r="H30" s="22"/>
      <c r="I30" s="22"/>
      <c r="J30" s="22"/>
      <c r="K30" s="23"/>
      <c r="L30" s="108"/>
    </row>
  </sheetData>
  <mergeCells count="3">
    <mergeCell ref="L1:P1"/>
    <mergeCell ref="A8:B8"/>
    <mergeCell ref="A20:B20"/>
  </mergeCells>
  <conditionalFormatting sqref="G3:G6">
    <cfRule type="cellIs" dxfId="1701" priority="6" operator="between">
      <formula>TODAY()</formula>
      <formula>TODAY()+10</formula>
    </cfRule>
  </conditionalFormatting>
  <conditionalFormatting sqref="G7">
    <cfRule type="cellIs" dxfId="1700" priority="2" operator="between">
      <formula>TODAY()</formula>
      <formula>TODAY()+10</formula>
    </cfRule>
  </conditionalFormatting>
  <conditionalFormatting sqref="G19">
    <cfRule type="cellIs" dxfId="1699" priority="1" operator="between">
      <formula>TODAY()</formula>
      <formula>TODAY()+10</formula>
    </cfRule>
  </conditionalFormatting>
  <dataValidations count="3">
    <dataValidation type="list" allowBlank="1" showInputMessage="1" showErrorMessage="1" sqref="F20:F30 F8:F17">
      <formula1>PLAZOdePAGO2</formula1>
    </dataValidation>
    <dataValidation type="list" allowBlank="1" showInputMessage="1" showErrorMessage="1" sqref="E20:E30 E8:E17">
      <formula1>PLAZOdePAGO</formula1>
    </dataValidation>
    <dataValidation type="list" allowBlank="1" showInputMessage="1" showErrorMessage="1" sqref="C23:C30 C20 C11:C17 C8">
      <formula1>PROVEEDORES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topLeftCell="A51" workbookViewId="0">
      <selection activeCell="N40" sqref="N40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658</v>
      </c>
      <c r="B3" s="1" t="s">
        <v>56</v>
      </c>
      <c r="C3" s="107" t="s">
        <v>50</v>
      </c>
      <c r="D3" s="109" t="s">
        <v>712</v>
      </c>
      <c r="E3" s="5" t="s">
        <v>158</v>
      </c>
      <c r="F3" s="6"/>
      <c r="G3" s="7">
        <v>43258</v>
      </c>
      <c r="H3" s="9">
        <v>336</v>
      </c>
      <c r="I3" s="8">
        <v>315</v>
      </c>
      <c r="J3" s="8">
        <f>+I3*H3</f>
        <v>105840</v>
      </c>
      <c r="K3" s="106" t="s">
        <v>34</v>
      </c>
      <c r="L3" s="10" t="s">
        <v>406</v>
      </c>
    </row>
    <row r="4" spans="1:16" ht="15" x14ac:dyDescent="0.25">
      <c r="A4" s="48" t="s">
        <v>659</v>
      </c>
      <c r="B4" s="1" t="s">
        <v>56</v>
      </c>
      <c r="C4" s="107" t="s">
        <v>50</v>
      </c>
      <c r="D4" s="109" t="s">
        <v>713</v>
      </c>
      <c r="E4" s="5" t="s">
        <v>158</v>
      </c>
      <c r="F4" s="6"/>
      <c r="G4" s="7">
        <v>43258</v>
      </c>
      <c r="H4" s="9">
        <v>312</v>
      </c>
      <c r="I4" s="8">
        <v>320</v>
      </c>
      <c r="J4" s="8">
        <f>+I4*H4</f>
        <v>99840</v>
      </c>
      <c r="K4" s="106" t="s">
        <v>34</v>
      </c>
      <c r="L4" s="10" t="s">
        <v>406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 t="s">
        <v>700</v>
      </c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83</v>
      </c>
      <c r="C7" s="37" t="s">
        <v>193</v>
      </c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17" t="s">
        <v>702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 t="s">
        <v>701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 t="s">
        <v>195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17" t="s">
        <v>200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84</v>
      </c>
      <c r="C12" s="44" t="s">
        <v>201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56" t="s">
        <v>165</v>
      </c>
      <c r="C13" s="44" t="s">
        <v>197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84</v>
      </c>
      <c r="C14" s="44" t="s">
        <v>199</v>
      </c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  <c r="L15" s="108"/>
    </row>
    <row r="16" spans="1:16" ht="3.75" customHeight="1" x14ac:dyDescent="0.25">
      <c r="A16" s="47"/>
      <c r="B16" s="24"/>
      <c r="C16" s="24"/>
      <c r="D16" s="71"/>
      <c r="E16" s="24"/>
      <c r="F16" s="24"/>
      <c r="G16" s="24"/>
      <c r="H16" s="24"/>
      <c r="I16" s="24"/>
      <c r="J16" s="24"/>
      <c r="K16" s="24"/>
    </row>
    <row r="17" spans="1:12" ht="15" x14ac:dyDescent="0.25">
      <c r="A17" s="48" t="s">
        <v>704</v>
      </c>
      <c r="B17" s="1" t="s">
        <v>32</v>
      </c>
      <c r="C17" s="107" t="s">
        <v>46</v>
      </c>
      <c r="D17" s="109"/>
      <c r="E17" s="5" t="s">
        <v>5</v>
      </c>
      <c r="F17" s="6"/>
      <c r="G17" s="7">
        <v>43256</v>
      </c>
      <c r="H17" s="9">
        <v>4500</v>
      </c>
      <c r="I17" s="8">
        <v>264.5</v>
      </c>
      <c r="J17" s="8">
        <f>+I17*H17</f>
        <v>1190250</v>
      </c>
      <c r="K17" s="106"/>
      <c r="L17" s="10" t="s">
        <v>110</v>
      </c>
    </row>
    <row r="18" spans="1:12" ht="15" x14ac:dyDescent="0.25">
      <c r="A18" s="48" t="s">
        <v>709</v>
      </c>
      <c r="B18" s="1" t="s">
        <v>243</v>
      </c>
      <c r="C18" s="107" t="s">
        <v>46</v>
      </c>
      <c r="D18" s="109"/>
      <c r="E18" s="5" t="s">
        <v>5</v>
      </c>
      <c r="F18" s="6"/>
      <c r="G18" s="7">
        <v>43256</v>
      </c>
      <c r="H18" s="9">
        <v>5400</v>
      </c>
      <c r="I18" s="8">
        <v>246</v>
      </c>
      <c r="J18" s="8">
        <f>+I18*H18</f>
        <v>1328400</v>
      </c>
      <c r="K18" s="106"/>
      <c r="L18" s="10" t="s">
        <v>110</v>
      </c>
    </row>
    <row r="19" spans="1:12" ht="18.75" x14ac:dyDescent="0.3">
      <c r="A19" s="531" t="s">
        <v>91</v>
      </c>
      <c r="B19" s="532"/>
      <c r="C19" s="13"/>
      <c r="D19" s="72"/>
      <c r="E19" s="13"/>
      <c r="F19" s="13"/>
      <c r="G19" s="13"/>
      <c r="H19" s="13"/>
      <c r="I19" s="13"/>
      <c r="J19" s="13"/>
      <c r="K19" s="14"/>
    </row>
    <row r="20" spans="1:12" x14ac:dyDescent="0.3">
      <c r="A20" s="49"/>
      <c r="B20" s="17" t="s">
        <v>76</v>
      </c>
      <c r="C20" s="37"/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78</v>
      </c>
      <c r="C21" s="37"/>
      <c r="D21" s="73"/>
      <c r="E21" s="37"/>
      <c r="F21" s="37"/>
      <c r="G21" s="37"/>
      <c r="H21" s="18"/>
      <c r="I21" s="59"/>
      <c r="J21" s="18"/>
      <c r="K21" s="19"/>
    </row>
    <row r="22" spans="1:12" x14ac:dyDescent="0.3">
      <c r="A22" s="49"/>
      <c r="B22" s="56" t="s">
        <v>98</v>
      </c>
      <c r="C22" s="45"/>
      <c r="D22" s="73"/>
      <c r="E22" s="37"/>
      <c r="F22" s="37"/>
      <c r="G22" s="37"/>
      <c r="H22" s="18"/>
      <c r="I22" s="18"/>
      <c r="J22" s="18"/>
      <c r="K22" s="19"/>
      <c r="L22" s="108"/>
    </row>
    <row r="23" spans="1:12" x14ac:dyDescent="0.3">
      <c r="A23" s="49"/>
      <c r="B23" s="17" t="s">
        <v>81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ht="15" x14ac:dyDescent="0.25">
      <c r="A24" s="49"/>
      <c r="B24" s="17" t="s">
        <v>169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85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56" t="s">
        <v>165</v>
      </c>
      <c r="C26" s="45"/>
      <c r="D26" s="73"/>
      <c r="E26" s="37"/>
      <c r="F26" s="37"/>
      <c r="G26" s="37"/>
      <c r="H26" s="18"/>
      <c r="I26" s="18"/>
      <c r="J26" s="18"/>
      <c r="K26" s="19"/>
      <c r="L26" s="108"/>
    </row>
    <row r="27" spans="1:12" x14ac:dyDescent="0.3">
      <c r="A27" s="49"/>
      <c r="B27" s="17" t="s">
        <v>85</v>
      </c>
      <c r="C27" s="45"/>
      <c r="D27" s="73"/>
      <c r="E27" s="37"/>
      <c r="F27" s="37"/>
      <c r="G27" s="37"/>
      <c r="H27" s="18"/>
      <c r="I27" s="18"/>
      <c r="J27" s="18"/>
      <c r="K27" s="19"/>
      <c r="L27" s="108"/>
    </row>
    <row r="28" spans="1:12" ht="15" x14ac:dyDescent="0.25">
      <c r="A28" s="50"/>
      <c r="B28" s="21"/>
      <c r="C28" s="111"/>
      <c r="D28" s="74"/>
      <c r="E28" s="38"/>
      <c r="F28" s="38"/>
      <c r="G28" s="38"/>
      <c r="H28" s="22"/>
      <c r="I28" s="22"/>
      <c r="J28" s="22"/>
      <c r="K28" s="23"/>
      <c r="L28" s="108"/>
    </row>
    <row r="29" spans="1:12" ht="3.75" customHeight="1" x14ac:dyDescent="0.25">
      <c r="A29" s="47"/>
      <c r="B29" s="24"/>
      <c r="C29" s="24"/>
      <c r="D29" s="71"/>
      <c r="E29" s="24"/>
      <c r="F29" s="24"/>
      <c r="G29" s="24"/>
      <c r="H29" s="24"/>
      <c r="I29" s="24"/>
      <c r="J29" s="24"/>
      <c r="K29" s="24"/>
    </row>
    <row r="30" spans="1:12" x14ac:dyDescent="0.3">
      <c r="A30" s="48" t="s">
        <v>731</v>
      </c>
      <c r="B30" s="1" t="s">
        <v>14</v>
      </c>
      <c r="C30" s="107" t="s">
        <v>15</v>
      </c>
      <c r="D30" s="109">
        <v>21669</v>
      </c>
      <c r="E30" s="5" t="s">
        <v>5</v>
      </c>
      <c r="F30" s="6"/>
      <c r="G30" s="7">
        <v>43257</v>
      </c>
      <c r="H30" s="9">
        <v>425.6</v>
      </c>
      <c r="I30" s="8">
        <v>908</v>
      </c>
      <c r="J30" s="8">
        <f>+I30*H30</f>
        <v>386444.80000000005</v>
      </c>
      <c r="K30" s="106"/>
      <c r="L30" s="10" t="s">
        <v>110</v>
      </c>
    </row>
    <row r="31" spans="1:12" x14ac:dyDescent="0.3">
      <c r="A31" s="48" t="s">
        <v>732</v>
      </c>
      <c r="B31" s="1" t="s">
        <v>14</v>
      </c>
      <c r="C31" s="107" t="s">
        <v>15</v>
      </c>
      <c r="D31" s="109">
        <v>21591</v>
      </c>
      <c r="E31" s="5" t="s">
        <v>5</v>
      </c>
      <c r="F31" s="6"/>
      <c r="G31" s="7">
        <v>43257</v>
      </c>
      <c r="H31" s="9">
        <v>425.6</v>
      </c>
      <c r="I31" s="8">
        <v>912</v>
      </c>
      <c r="J31" s="8">
        <f>+I31*H31</f>
        <v>388147.20000000001</v>
      </c>
      <c r="K31" s="106"/>
      <c r="L31" s="10" t="s">
        <v>110</v>
      </c>
    </row>
    <row r="32" spans="1:12" ht="18.75" x14ac:dyDescent="0.3">
      <c r="A32" s="531" t="s">
        <v>91</v>
      </c>
      <c r="B32" s="532"/>
      <c r="C32" s="13"/>
      <c r="D32" s="72"/>
      <c r="E32" s="13"/>
      <c r="F32" s="13"/>
      <c r="G32" s="13"/>
      <c r="H32" s="13"/>
      <c r="I32" s="13"/>
      <c r="J32" s="13"/>
      <c r="K32" s="14"/>
    </row>
    <row r="33" spans="1:12" x14ac:dyDescent="0.3">
      <c r="A33" s="49"/>
      <c r="B33" s="17" t="s">
        <v>76</v>
      </c>
      <c r="C33" s="37" t="s">
        <v>15</v>
      </c>
      <c r="D33" s="73"/>
      <c r="E33" s="37"/>
      <c r="F33" s="37"/>
      <c r="G33" s="37"/>
      <c r="H33" s="18"/>
      <c r="I33" s="18"/>
      <c r="J33" s="18"/>
      <c r="K33" s="19"/>
    </row>
    <row r="34" spans="1:12" x14ac:dyDescent="0.3">
      <c r="A34" s="49"/>
      <c r="B34" s="17" t="s">
        <v>78</v>
      </c>
      <c r="C34" s="37" t="s">
        <v>227</v>
      </c>
      <c r="D34" s="73"/>
      <c r="E34" s="37"/>
      <c r="F34" s="37"/>
      <c r="G34" s="37"/>
      <c r="H34" s="18"/>
      <c r="I34" s="59"/>
      <c r="J34" s="18"/>
      <c r="K34" s="19"/>
    </row>
    <row r="35" spans="1:12" x14ac:dyDescent="0.3">
      <c r="A35" s="49"/>
      <c r="B35" s="56" t="s">
        <v>98</v>
      </c>
      <c r="C35" s="45" t="s">
        <v>761</v>
      </c>
      <c r="D35" s="73"/>
      <c r="E35" s="37"/>
      <c r="F35" s="37"/>
      <c r="G35" s="37"/>
      <c r="H35" s="18"/>
      <c r="I35" s="18"/>
      <c r="J35" s="18"/>
      <c r="K35" s="19"/>
      <c r="L35" s="108"/>
    </row>
    <row r="36" spans="1:12" x14ac:dyDescent="0.3">
      <c r="A36" s="49"/>
      <c r="B36" s="17" t="s">
        <v>81</v>
      </c>
      <c r="C36" s="45">
        <v>8263292948</v>
      </c>
      <c r="D36" s="73"/>
      <c r="E36" s="37"/>
      <c r="F36" s="37"/>
      <c r="G36" s="37"/>
      <c r="H36" s="18"/>
      <c r="I36" s="18"/>
      <c r="J36" s="18"/>
      <c r="K36" s="19"/>
    </row>
    <row r="37" spans="1:12" ht="15" x14ac:dyDescent="0.25">
      <c r="A37" s="49"/>
      <c r="B37" s="17" t="s">
        <v>169</v>
      </c>
      <c r="C37" s="45" t="s">
        <v>762</v>
      </c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85</v>
      </c>
      <c r="C38" s="45" t="s">
        <v>171</v>
      </c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56" t="s">
        <v>461</v>
      </c>
      <c r="C39" s="45" t="s">
        <v>763</v>
      </c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17" t="s">
        <v>81</v>
      </c>
      <c r="C40" s="45" t="s">
        <v>174</v>
      </c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49"/>
      <c r="B41" s="17" t="s">
        <v>85</v>
      </c>
      <c r="C41" s="45" t="s">
        <v>764</v>
      </c>
      <c r="D41" s="73"/>
      <c r="E41" s="37"/>
      <c r="F41" s="37"/>
      <c r="G41" s="37"/>
      <c r="H41" s="18"/>
      <c r="I41" s="18"/>
      <c r="J41" s="18"/>
      <c r="K41" s="19"/>
    </row>
    <row r="42" spans="1:12" ht="15" x14ac:dyDescent="0.25">
      <c r="A42" s="50"/>
      <c r="B42" s="21"/>
      <c r="C42" s="111"/>
      <c r="D42" s="74"/>
      <c r="E42" s="38"/>
      <c r="F42" s="38"/>
      <c r="G42" s="38"/>
      <c r="H42" s="22"/>
      <c r="I42" s="22"/>
      <c r="J42" s="22"/>
      <c r="K42" s="23"/>
      <c r="L42" s="108"/>
    </row>
    <row r="43" spans="1:12" ht="3.75" customHeight="1" x14ac:dyDescent="0.25">
      <c r="A43" s="47"/>
      <c r="B43" s="24"/>
      <c r="C43" s="24"/>
      <c r="D43" s="71"/>
      <c r="E43" s="24"/>
      <c r="F43" s="24"/>
      <c r="G43" s="24"/>
      <c r="H43" s="24"/>
      <c r="I43" s="24"/>
      <c r="J43" s="24"/>
      <c r="K43" s="24"/>
    </row>
    <row r="44" spans="1:12" ht="15" x14ac:dyDescent="0.25">
      <c r="A44" s="48" t="s">
        <v>683</v>
      </c>
      <c r="B44" s="1" t="s">
        <v>6</v>
      </c>
      <c r="C44" s="107" t="s">
        <v>7</v>
      </c>
      <c r="D44" s="109">
        <v>20180710</v>
      </c>
      <c r="E44" s="5" t="s">
        <v>5</v>
      </c>
      <c r="F44" s="6"/>
      <c r="G44" s="7">
        <v>43257</v>
      </c>
      <c r="H44" s="9">
        <v>675</v>
      </c>
      <c r="I44" s="8">
        <v>513</v>
      </c>
      <c r="J44" s="8">
        <f>+I44*H44</f>
        <v>346275</v>
      </c>
      <c r="K44" s="106"/>
      <c r="L44" s="10" t="s">
        <v>110</v>
      </c>
    </row>
    <row r="45" spans="1:12" ht="18.75" x14ac:dyDescent="0.3">
      <c r="A45" s="531" t="s">
        <v>91</v>
      </c>
      <c r="B45" s="532"/>
      <c r="C45" s="13"/>
      <c r="D45" s="72"/>
      <c r="E45" s="13"/>
      <c r="F45" s="13"/>
      <c r="G45" s="13"/>
      <c r="H45" s="13"/>
      <c r="I45" s="13"/>
      <c r="J45" s="13"/>
      <c r="K45" s="14"/>
    </row>
    <row r="46" spans="1:12" x14ac:dyDescent="0.3">
      <c r="A46" s="49"/>
      <c r="B46" s="17" t="s">
        <v>76</v>
      </c>
      <c r="C46" s="37" t="s">
        <v>92</v>
      </c>
      <c r="D46" s="73"/>
      <c r="E46" s="37"/>
      <c r="F46" s="37"/>
      <c r="G46" s="37"/>
      <c r="H46" s="18"/>
      <c r="I46" s="18"/>
      <c r="J46" s="18"/>
      <c r="K46" s="19"/>
    </row>
    <row r="47" spans="1:12" x14ac:dyDescent="0.3">
      <c r="A47" s="49"/>
      <c r="B47" s="17" t="s">
        <v>78</v>
      </c>
      <c r="C47" s="37" t="s">
        <v>627</v>
      </c>
      <c r="D47" s="73"/>
      <c r="E47" s="37"/>
      <c r="F47" s="37"/>
      <c r="G47" s="37"/>
      <c r="H47" s="18"/>
      <c r="I47" s="59"/>
      <c r="J47" s="18"/>
      <c r="K47" s="19"/>
    </row>
    <row r="48" spans="1:12" x14ac:dyDescent="0.3">
      <c r="A48" s="49"/>
      <c r="B48" s="56" t="s">
        <v>98</v>
      </c>
      <c r="C48" s="45" t="s">
        <v>410</v>
      </c>
      <c r="D48" s="73"/>
      <c r="E48" s="37"/>
      <c r="F48" s="37"/>
      <c r="G48" s="37"/>
      <c r="H48" s="18"/>
      <c r="I48" s="18"/>
      <c r="J48" s="18"/>
      <c r="K48" s="19"/>
      <c r="L48" s="108"/>
    </row>
    <row r="49" spans="1:12" x14ac:dyDescent="0.3">
      <c r="A49" s="49"/>
      <c r="B49" s="17" t="s">
        <v>81</v>
      </c>
      <c r="C49" s="45" t="s">
        <v>424</v>
      </c>
      <c r="D49" s="73"/>
      <c r="E49" s="37"/>
      <c r="F49" s="37"/>
      <c r="G49" s="37"/>
      <c r="H49" s="18"/>
      <c r="I49" s="18"/>
      <c r="J49" s="18"/>
      <c r="K49" s="19"/>
    </row>
    <row r="50" spans="1:12" ht="15" x14ac:dyDescent="0.25">
      <c r="A50" s="49"/>
      <c r="B50" s="17" t="s">
        <v>169</v>
      </c>
      <c r="C50" s="45" t="s">
        <v>412</v>
      </c>
      <c r="D50" s="73"/>
      <c r="E50" s="37"/>
      <c r="F50" s="37"/>
      <c r="G50" s="37"/>
      <c r="H50" s="18"/>
      <c r="I50" s="18"/>
      <c r="J50" s="18"/>
      <c r="K50" s="19"/>
    </row>
    <row r="51" spans="1:12" x14ac:dyDescent="0.3">
      <c r="A51" s="49"/>
      <c r="B51" s="17" t="s">
        <v>85</v>
      </c>
      <c r="C51" s="45" t="s">
        <v>720</v>
      </c>
      <c r="D51" s="73"/>
      <c r="E51" s="37"/>
      <c r="F51" s="37"/>
      <c r="G51" s="37"/>
      <c r="H51" s="18"/>
      <c r="I51" s="18"/>
      <c r="J51" s="18"/>
      <c r="K51" s="19"/>
    </row>
    <row r="52" spans="1:12" x14ac:dyDescent="0.3">
      <c r="A52" s="49"/>
      <c r="B52" s="56" t="s">
        <v>165</v>
      </c>
      <c r="C52" s="45" t="s">
        <v>107</v>
      </c>
      <c r="D52" s="73"/>
      <c r="E52" s="37"/>
      <c r="F52" s="37"/>
      <c r="G52" s="37"/>
      <c r="H52" s="18"/>
      <c r="I52" s="18"/>
      <c r="J52" s="18"/>
      <c r="K52" s="19"/>
      <c r="L52" s="108"/>
    </row>
    <row r="53" spans="1:12" x14ac:dyDescent="0.3">
      <c r="A53" s="49"/>
      <c r="B53" s="17" t="s">
        <v>85</v>
      </c>
      <c r="C53" s="45" t="s">
        <v>108</v>
      </c>
      <c r="D53" s="73"/>
      <c r="E53" s="37"/>
      <c r="F53" s="37"/>
      <c r="G53" s="37"/>
      <c r="H53" s="18"/>
      <c r="I53" s="18"/>
      <c r="J53" s="18"/>
      <c r="K53" s="19"/>
      <c r="L53" s="108"/>
    </row>
    <row r="54" spans="1:12" ht="15" x14ac:dyDescent="0.25">
      <c r="A54" s="50"/>
      <c r="B54" s="21"/>
      <c r="C54" s="111"/>
      <c r="D54" s="74"/>
      <c r="E54" s="38"/>
      <c r="F54" s="38"/>
      <c r="G54" s="38"/>
      <c r="H54" s="22"/>
      <c r="I54" s="22"/>
      <c r="J54" s="22"/>
      <c r="K54" s="23"/>
      <c r="L54" s="108"/>
    </row>
    <row r="55" spans="1:12" ht="3.75" customHeight="1" x14ac:dyDescent="0.25">
      <c r="A55" s="47"/>
      <c r="B55" s="24"/>
      <c r="C55" s="24"/>
      <c r="D55" s="71"/>
      <c r="E55" s="24"/>
      <c r="F55" s="24"/>
      <c r="G55" s="24"/>
      <c r="H55" s="24"/>
      <c r="I55" s="24"/>
      <c r="J55" s="24"/>
      <c r="K55" s="24"/>
    </row>
    <row r="56" spans="1:12" x14ac:dyDescent="0.3">
      <c r="A56" s="48" t="s">
        <v>686</v>
      </c>
      <c r="B56" s="1" t="s">
        <v>12</v>
      </c>
      <c r="C56" s="107" t="s">
        <v>280</v>
      </c>
      <c r="D56" s="109" t="s">
        <v>690</v>
      </c>
      <c r="E56" s="5">
        <v>60</v>
      </c>
      <c r="F56" s="6" t="s">
        <v>20</v>
      </c>
      <c r="G56" s="7">
        <v>43258</v>
      </c>
      <c r="H56" s="9">
        <v>594</v>
      </c>
      <c r="I56" s="8">
        <v>152</v>
      </c>
      <c r="J56" s="8">
        <f>+I56*H56</f>
        <v>90288</v>
      </c>
      <c r="K56" s="106">
        <v>43194</v>
      </c>
      <c r="L56" s="10" t="s">
        <v>110</v>
      </c>
    </row>
    <row r="57" spans="1:12" ht="18.75" x14ac:dyDescent="0.3">
      <c r="A57" s="531" t="s">
        <v>91</v>
      </c>
      <c r="B57" s="532"/>
      <c r="C57" s="13"/>
      <c r="D57" s="72"/>
      <c r="E57" s="13"/>
      <c r="F57" s="13"/>
      <c r="G57" s="13"/>
      <c r="H57" s="13"/>
      <c r="I57" s="13"/>
      <c r="J57" s="13"/>
      <c r="K57" s="14"/>
    </row>
    <row r="58" spans="1:12" x14ac:dyDescent="0.3">
      <c r="A58" s="49"/>
      <c r="B58" s="17" t="s">
        <v>76</v>
      </c>
      <c r="C58" s="37" t="s">
        <v>489</v>
      </c>
      <c r="D58" s="73"/>
      <c r="E58" s="37"/>
      <c r="F58" s="37"/>
      <c r="G58" s="37"/>
      <c r="H58" s="18"/>
      <c r="I58" s="18"/>
      <c r="J58" s="18"/>
      <c r="K58" s="19"/>
    </row>
    <row r="59" spans="1:12" x14ac:dyDescent="0.3">
      <c r="A59" s="49"/>
      <c r="B59" s="56" t="s">
        <v>98</v>
      </c>
      <c r="C59" s="37" t="s">
        <v>490</v>
      </c>
      <c r="D59" s="73"/>
      <c r="E59" s="37"/>
      <c r="F59" s="37"/>
      <c r="G59" s="37"/>
      <c r="H59" s="18"/>
      <c r="I59" s="18"/>
      <c r="J59" s="18"/>
      <c r="K59" s="19"/>
    </row>
    <row r="60" spans="1:12" x14ac:dyDescent="0.3">
      <c r="A60" s="49"/>
      <c r="B60" s="17" t="s">
        <v>491</v>
      </c>
      <c r="C60" s="44" t="s">
        <v>492</v>
      </c>
      <c r="D60" s="73"/>
      <c r="E60" s="37"/>
      <c r="F60" s="37"/>
      <c r="G60" s="37"/>
      <c r="H60" s="18"/>
      <c r="I60" s="18"/>
      <c r="J60" s="18"/>
      <c r="K60" s="19"/>
    </row>
    <row r="61" spans="1:12" x14ac:dyDescent="0.3">
      <c r="A61" s="49"/>
      <c r="B61" s="17" t="s">
        <v>85</v>
      </c>
      <c r="C61" s="37" t="s">
        <v>493</v>
      </c>
      <c r="D61" s="73"/>
      <c r="E61" s="37"/>
      <c r="F61" s="37"/>
      <c r="G61" s="37"/>
      <c r="H61" s="18"/>
      <c r="I61" s="18"/>
      <c r="J61" s="18"/>
      <c r="K61" s="19"/>
    </row>
    <row r="62" spans="1:12" ht="15" x14ac:dyDescent="0.25">
      <c r="A62" s="50"/>
      <c r="B62" s="21"/>
      <c r="C62" s="111"/>
      <c r="D62" s="74"/>
      <c r="E62" s="38"/>
      <c r="F62" s="38"/>
      <c r="G62" s="38"/>
      <c r="H62" s="22"/>
      <c r="I62" s="22"/>
      <c r="J62" s="22"/>
      <c r="K62" s="23"/>
      <c r="L62" s="108"/>
    </row>
    <row r="63" spans="1:12" ht="3.75" customHeight="1" x14ac:dyDescent="0.25">
      <c r="A63" s="47"/>
      <c r="B63" s="24"/>
      <c r="C63" s="24"/>
      <c r="D63" s="71"/>
      <c r="E63" s="24"/>
      <c r="F63" s="24"/>
      <c r="G63" s="24"/>
      <c r="H63" s="24"/>
      <c r="I63" s="24"/>
      <c r="J63" s="24"/>
      <c r="K63" s="24"/>
    </row>
    <row r="64" spans="1:12" ht="15" x14ac:dyDescent="0.25">
      <c r="A64" s="48" t="s">
        <v>733</v>
      </c>
      <c r="B64" s="1" t="s">
        <v>4</v>
      </c>
      <c r="C64" s="107" t="s">
        <v>245</v>
      </c>
      <c r="D64" s="109">
        <v>4200597824</v>
      </c>
      <c r="E64" s="5" t="s">
        <v>5</v>
      </c>
      <c r="F64" s="6"/>
      <c r="G64" s="7">
        <v>43258</v>
      </c>
      <c r="H64" s="9">
        <v>588</v>
      </c>
      <c r="I64" s="8">
        <v>525</v>
      </c>
      <c r="J64" s="8">
        <f>+I64*H64</f>
        <v>308700</v>
      </c>
      <c r="K64" s="106"/>
      <c r="L64" s="10" t="s">
        <v>110</v>
      </c>
    </row>
    <row r="65" spans="1:12" ht="15" x14ac:dyDescent="0.25">
      <c r="A65" s="48" t="s">
        <v>514</v>
      </c>
      <c r="B65" s="1" t="s">
        <v>4</v>
      </c>
      <c r="C65" s="107" t="s">
        <v>245</v>
      </c>
      <c r="D65" s="109"/>
      <c r="E65" s="5"/>
      <c r="F65" s="6"/>
      <c r="G65" s="7">
        <v>43266</v>
      </c>
      <c r="H65" s="9">
        <v>588</v>
      </c>
      <c r="I65" s="8">
        <v>-10</v>
      </c>
      <c r="J65" s="8">
        <f>+H65*I65</f>
        <v>-5880</v>
      </c>
      <c r="K65" s="106"/>
      <c r="L65" s="10" t="s">
        <v>110</v>
      </c>
    </row>
    <row r="66" spans="1:12" ht="18.75" x14ac:dyDescent="0.3">
      <c r="A66" s="531" t="s">
        <v>91</v>
      </c>
      <c r="B66" s="532"/>
      <c r="C66" s="13"/>
      <c r="D66" s="72"/>
      <c r="E66" s="13"/>
      <c r="F66" s="13"/>
      <c r="G66" s="13"/>
      <c r="H66" s="13"/>
      <c r="I66" s="13"/>
      <c r="J66" s="13"/>
      <c r="K66" s="14"/>
    </row>
    <row r="67" spans="1:12" x14ac:dyDescent="0.3">
      <c r="A67" s="49"/>
      <c r="B67" s="17" t="s">
        <v>76</v>
      </c>
      <c r="C67" s="37" t="s">
        <v>303</v>
      </c>
      <c r="D67" s="73"/>
      <c r="E67" s="37"/>
      <c r="F67" s="37"/>
      <c r="G67" s="37"/>
      <c r="H67" s="18"/>
      <c r="I67" s="18"/>
      <c r="J67" s="18"/>
      <c r="K67" s="19"/>
    </row>
    <row r="68" spans="1:12" x14ac:dyDescent="0.3">
      <c r="A68" s="49"/>
      <c r="B68" s="17" t="s">
        <v>78</v>
      </c>
      <c r="C68" s="37" t="s">
        <v>304</v>
      </c>
      <c r="D68" s="73"/>
      <c r="E68" s="37"/>
      <c r="F68" s="37"/>
      <c r="G68" s="37"/>
      <c r="H68" s="18"/>
      <c r="I68" s="59"/>
      <c r="J68" s="18"/>
      <c r="K68" s="19"/>
    </row>
    <row r="69" spans="1:12" x14ac:dyDescent="0.3">
      <c r="A69" s="49"/>
      <c r="B69" s="56" t="s">
        <v>98</v>
      </c>
      <c r="C69" s="45" t="s">
        <v>305</v>
      </c>
      <c r="D69" s="73"/>
      <c r="E69" s="37"/>
      <c r="F69" s="37"/>
      <c r="G69" s="37"/>
      <c r="H69" s="18"/>
      <c r="I69" s="18"/>
      <c r="J69" s="18"/>
      <c r="K69" s="19"/>
    </row>
    <row r="70" spans="1:12" ht="15" x14ac:dyDescent="0.25">
      <c r="A70" s="49"/>
      <c r="B70" s="17" t="s">
        <v>169</v>
      </c>
      <c r="C70" s="17" t="s">
        <v>300</v>
      </c>
      <c r="D70" s="73"/>
      <c r="E70" s="37"/>
      <c r="F70" s="37"/>
      <c r="G70" s="37"/>
      <c r="H70" s="18"/>
      <c r="I70" s="18"/>
      <c r="J70" s="18"/>
      <c r="K70" s="19"/>
    </row>
    <row r="71" spans="1:12" x14ac:dyDescent="0.3">
      <c r="A71" s="49"/>
      <c r="B71" s="17" t="s">
        <v>85</v>
      </c>
      <c r="C71" s="44" t="s">
        <v>301</v>
      </c>
      <c r="D71" s="73"/>
      <c r="E71" s="37"/>
      <c r="F71" s="37"/>
      <c r="G71" s="37"/>
      <c r="H71" s="18"/>
      <c r="I71" s="18"/>
      <c r="J71" s="18"/>
      <c r="K71" s="19"/>
    </row>
    <row r="72" spans="1:12" x14ac:dyDescent="0.3">
      <c r="A72" s="49"/>
      <c r="B72" s="17" t="s">
        <v>81</v>
      </c>
      <c r="C72" s="45" t="s">
        <v>302</v>
      </c>
      <c r="D72" s="73"/>
      <c r="E72" s="37"/>
      <c r="F72" s="37"/>
      <c r="G72" s="37"/>
      <c r="H72" s="18"/>
      <c r="I72" s="18"/>
      <c r="J72" s="18"/>
      <c r="K72" s="19"/>
    </row>
    <row r="73" spans="1:12" ht="15" x14ac:dyDescent="0.25">
      <c r="A73" s="50"/>
      <c r="B73" s="21"/>
      <c r="C73" s="21"/>
      <c r="D73" s="74"/>
      <c r="E73" s="21"/>
      <c r="F73" s="21"/>
      <c r="G73" s="21"/>
      <c r="H73" s="22"/>
      <c r="I73" s="22"/>
      <c r="J73" s="22"/>
      <c r="K73" s="23"/>
    </row>
  </sheetData>
  <mergeCells count="7">
    <mergeCell ref="A66:B66"/>
    <mergeCell ref="A32:B32"/>
    <mergeCell ref="A5:B5"/>
    <mergeCell ref="A57:B57"/>
    <mergeCell ref="L1:P1"/>
    <mergeCell ref="A45:B45"/>
    <mergeCell ref="A19:B19"/>
  </mergeCells>
  <conditionalFormatting sqref="G3:G4 G30:G31">
    <cfRule type="cellIs" dxfId="1698" priority="37" operator="between">
      <formula>TODAY()</formula>
      <formula>TODAY()+10</formula>
    </cfRule>
  </conditionalFormatting>
  <conditionalFormatting sqref="G17:G18">
    <cfRule type="cellIs" dxfId="1697" priority="23" operator="between">
      <formula>TODAY()</formula>
      <formula>TODAY()+10</formula>
    </cfRule>
  </conditionalFormatting>
  <conditionalFormatting sqref="G56">
    <cfRule type="cellIs" dxfId="1696" priority="32" operator="between">
      <formula>TODAY()</formula>
      <formula>TODAY()+10</formula>
    </cfRule>
  </conditionalFormatting>
  <conditionalFormatting sqref="G44">
    <cfRule type="cellIs" dxfId="1695" priority="13" operator="between">
      <formula>TODAY()</formula>
      <formula>TODAY()+10</formula>
    </cfRule>
  </conditionalFormatting>
  <conditionalFormatting sqref="G64">
    <cfRule type="cellIs" dxfId="1694" priority="6" operator="between">
      <formula>TODAY()</formula>
      <formula>TODAY()+10</formula>
    </cfRule>
  </conditionalFormatting>
  <conditionalFormatting sqref="G65">
    <cfRule type="cellIs" dxfId="1693" priority="1" operator="between">
      <formula>TODAY()</formula>
      <formula>TODAY()+10</formula>
    </cfRule>
  </conditionalFormatting>
  <dataValidations count="4">
    <dataValidation type="list" allowBlank="1" showInputMessage="1" showErrorMessage="1" sqref="C15 C62 C42 C17:C19 C22:C28 C48:C54 C45 C3:C4">
      <formula1>PROVEEDORES</formula1>
    </dataValidation>
    <dataValidation type="list" allowBlank="1" showInputMessage="1" showErrorMessage="1" sqref="E57:E62 E42 E19:E28 E45:E54 E3:E15 E65">
      <formula1>PLAZOdePAGO</formula1>
    </dataValidation>
    <dataValidation type="list" allowBlank="1" showInputMessage="1" showErrorMessage="1" sqref="F57:F62 F42 F19:F28 F45:F54 F3:F15 F65">
      <formula1>PLAZOdePAGO2</formula1>
    </dataValidation>
    <dataValidation type="list" allowBlank="1" showInputMessage="1" showErrorMessage="1" sqref="B17:B18 B3:B4 B56">
      <formula1>MATERIALES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O10" sqref="O10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765</v>
      </c>
      <c r="B3" s="1" t="s">
        <v>6</v>
      </c>
      <c r="C3" s="107" t="s">
        <v>17</v>
      </c>
      <c r="D3" s="109" t="s">
        <v>771</v>
      </c>
      <c r="E3" s="5" t="s">
        <v>5</v>
      </c>
      <c r="F3" s="6"/>
      <c r="G3" s="7">
        <v>43265</v>
      </c>
      <c r="H3" s="9">
        <v>250</v>
      </c>
      <c r="I3" s="8">
        <v>505</v>
      </c>
      <c r="J3" s="8">
        <f>+I3*H3*0.2</f>
        <v>25250</v>
      </c>
      <c r="K3" s="106"/>
      <c r="L3" s="10" t="s">
        <v>774</v>
      </c>
    </row>
    <row r="4" spans="1:16" ht="15" x14ac:dyDescent="0.25">
      <c r="A4" s="48" t="s">
        <v>766</v>
      </c>
      <c r="B4" s="1" t="s">
        <v>6</v>
      </c>
      <c r="C4" s="107" t="s">
        <v>17</v>
      </c>
      <c r="D4" s="109" t="s">
        <v>772</v>
      </c>
      <c r="E4" s="5" t="s">
        <v>5</v>
      </c>
      <c r="F4" s="6"/>
      <c r="G4" s="7">
        <v>43265</v>
      </c>
      <c r="H4" s="9">
        <v>450</v>
      </c>
      <c r="I4" s="8">
        <v>514</v>
      </c>
      <c r="J4" s="8">
        <f>+I4*H4*0.2</f>
        <v>46260</v>
      </c>
      <c r="K4" s="106"/>
      <c r="L4" s="10" t="s">
        <v>774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/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83</v>
      </c>
      <c r="C7" s="37"/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17"/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84</v>
      </c>
      <c r="C9" s="44"/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4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17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84</v>
      </c>
      <c r="C12" s="44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56" t="s">
        <v>165</v>
      </c>
      <c r="C13" s="44"/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84</v>
      </c>
      <c r="C14" s="44"/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  <c r="L15" s="108"/>
    </row>
  </sheetData>
  <mergeCells count="2">
    <mergeCell ref="L1:P1"/>
    <mergeCell ref="A5:B5"/>
  </mergeCells>
  <conditionalFormatting sqref="G3:G4">
    <cfRule type="cellIs" dxfId="1692" priority="11" operator="between">
      <formula>TODAY()</formula>
      <formula>TODAY()+10</formula>
    </cfRule>
  </conditionalFormatting>
  <dataValidations count="4">
    <dataValidation type="list" allowBlank="1" showInputMessage="1" showErrorMessage="1" sqref="B3:B4">
      <formula1>MATERIALES</formula1>
    </dataValidation>
    <dataValidation type="list" allowBlank="1" showInputMessage="1" showErrorMessage="1" sqref="F3:F15">
      <formula1>PLAZOdePAGO2</formula1>
    </dataValidation>
    <dataValidation type="list" allowBlank="1" showInputMessage="1" showErrorMessage="1" sqref="E3:E15">
      <formula1>PLAZOdePAGO</formula1>
    </dataValidation>
    <dataValidation type="list" allowBlank="1" showInputMessage="1" showErrorMessage="1" sqref="C15 C3:C4">
      <formula1>PROVEEDORES</formula1>
    </dataValidation>
  </dataValidations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>
      <selection sqref="A1:XFD1048576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573</v>
      </c>
      <c r="B3" s="1" t="s">
        <v>35</v>
      </c>
      <c r="C3" s="107" t="s">
        <v>47</v>
      </c>
      <c r="D3" s="109" t="s">
        <v>737</v>
      </c>
      <c r="E3" s="5">
        <v>90</v>
      </c>
      <c r="F3" s="6" t="s">
        <v>20</v>
      </c>
      <c r="G3" s="7">
        <v>43276</v>
      </c>
      <c r="H3" s="9">
        <v>100</v>
      </c>
      <c r="I3" s="8">
        <v>627</v>
      </c>
      <c r="J3" s="8">
        <f>+H3*I3</f>
        <v>62700</v>
      </c>
      <c r="K3" s="106">
        <v>43185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/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17"/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84</v>
      </c>
      <c r="C8" s="44"/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44"/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56" t="s">
        <v>461</v>
      </c>
      <c r="C10" s="17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84</v>
      </c>
      <c r="C11" s="44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165</v>
      </c>
      <c r="C12" s="44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84</v>
      </c>
      <c r="C13" s="44"/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5" x14ac:dyDescent="0.25">
      <c r="A16" s="48" t="s">
        <v>730</v>
      </c>
      <c r="B16" s="1" t="s">
        <v>13</v>
      </c>
      <c r="C16" s="107" t="s">
        <v>15</v>
      </c>
      <c r="D16" s="109"/>
      <c r="E16" s="5" t="s">
        <v>5</v>
      </c>
      <c r="F16" s="6"/>
      <c r="G16" s="7">
        <v>43279</v>
      </c>
      <c r="H16" s="9">
        <v>160</v>
      </c>
      <c r="I16" s="8">
        <v>814</v>
      </c>
      <c r="J16" s="8">
        <f>+I16*H16</f>
        <v>130240</v>
      </c>
      <c r="K16" s="106"/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 t="s">
        <v>15</v>
      </c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 t="s">
        <v>227</v>
      </c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 t="s">
        <v>761</v>
      </c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>
        <v>8263292948</v>
      </c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 t="s">
        <v>762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 t="s">
        <v>171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 t="s">
        <v>763</v>
      </c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 t="s">
        <v>174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 t="s">
        <v>764</v>
      </c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</sheetData>
  <mergeCells count="3">
    <mergeCell ref="L1:P1"/>
    <mergeCell ref="A4:B4"/>
    <mergeCell ref="A17:B17"/>
  </mergeCells>
  <conditionalFormatting sqref="G16">
    <cfRule type="cellIs" dxfId="1691" priority="18" operator="between">
      <formula>TODAY()</formula>
      <formula>TODAY()+10</formula>
    </cfRule>
  </conditionalFormatting>
  <conditionalFormatting sqref="G3">
    <cfRule type="cellIs" dxfId="1690" priority="10" operator="between">
      <formula>TODAY()</formula>
      <formula>TODAY()+10</formula>
    </cfRule>
  </conditionalFormatting>
  <dataValidations count="4">
    <dataValidation type="list" allowBlank="1" showInputMessage="1" showErrorMessage="1" sqref="C14 C27 C3">
      <formula1>PROVEEDORES</formula1>
    </dataValidation>
    <dataValidation type="list" allowBlank="1" showInputMessage="1" showErrorMessage="1" sqref="E27 E3:E14">
      <formula1>PLAZOdePAGO</formula1>
    </dataValidation>
    <dataValidation type="list" allowBlank="1" showInputMessage="1" showErrorMessage="1" sqref="F27 F3:F14">
      <formula1>PLAZOdePAGO2</formula1>
    </dataValidation>
    <dataValidation type="list" allowBlank="1" showInputMessage="1" showErrorMessage="1" sqref="B3">
      <formula1>MATERIALES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topLeftCell="A13" workbookViewId="0">
      <selection activeCell="D46" sqref="D46"/>
    </sheetView>
  </sheetViews>
  <sheetFormatPr baseColWidth="10" defaultColWidth="11.44140625" defaultRowHeight="14.4" x14ac:dyDescent="0.3"/>
  <cols>
    <col min="1" max="1" width="10.5546875" style="51" customWidth="1"/>
    <col min="2" max="2" width="17.44140625" style="10" customWidth="1"/>
    <col min="3" max="3" width="12.44140625" style="10" customWidth="1"/>
    <col min="4" max="4" width="9.5546875" style="10" customWidth="1"/>
    <col min="5" max="5" width="4.44140625" style="10" bestFit="1" customWidth="1"/>
    <col min="6" max="6" width="7.5546875" style="10" bestFit="1" customWidth="1"/>
    <col min="7" max="7" width="9.5546875" style="10" customWidth="1"/>
    <col min="8" max="8" width="8.5546875" style="10" customWidth="1"/>
    <col min="9" max="9" width="8.44140625" style="10" bestFit="1" customWidth="1"/>
    <col min="10" max="10" width="10" style="10" bestFit="1" customWidth="1"/>
    <col min="11" max="11" width="10" style="10" customWidth="1"/>
    <col min="12" max="12" width="4.44140625" style="10" customWidth="1"/>
    <col min="13" max="16384" width="11.44140625" style="10"/>
  </cols>
  <sheetData>
    <row r="1" spans="1:15" ht="33" customHeight="1" x14ac:dyDescent="0.25">
      <c r="A1" s="46" t="s">
        <v>0</v>
      </c>
      <c r="B1" s="46" t="s">
        <v>1</v>
      </c>
      <c r="C1" s="46" t="s">
        <v>2</v>
      </c>
      <c r="D1" s="46" t="s">
        <v>111</v>
      </c>
      <c r="E1" s="46" t="s">
        <v>21</v>
      </c>
      <c r="F1" s="46" t="s">
        <v>22</v>
      </c>
      <c r="G1" s="46" t="s">
        <v>3</v>
      </c>
      <c r="H1" s="46" t="s">
        <v>19</v>
      </c>
      <c r="I1" s="46" t="s">
        <v>23</v>
      </c>
      <c r="J1" s="46" t="s">
        <v>75</v>
      </c>
      <c r="K1" s="46" t="s">
        <v>127</v>
      </c>
      <c r="L1" s="533" t="s">
        <v>112</v>
      </c>
      <c r="M1" s="534"/>
      <c r="N1" s="534"/>
      <c r="O1" s="534"/>
    </row>
    <row r="2" spans="1:15" ht="7.5" customHeight="1" x14ac:dyDescent="0.25">
      <c r="A2" s="47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5" x14ac:dyDescent="0.3">
      <c r="A3" s="48" t="s">
        <v>161</v>
      </c>
      <c r="B3" s="1" t="s">
        <v>6</v>
      </c>
      <c r="C3" s="3" t="s">
        <v>7</v>
      </c>
      <c r="D3" s="41" t="s">
        <v>128</v>
      </c>
      <c r="E3" s="5">
        <v>90</v>
      </c>
      <c r="F3" s="6" t="s">
        <v>20</v>
      </c>
      <c r="G3" s="7">
        <v>42927</v>
      </c>
      <c r="H3" s="9">
        <v>250</v>
      </c>
      <c r="I3" s="8">
        <v>505</v>
      </c>
      <c r="J3" s="8">
        <v>126250</v>
      </c>
      <c r="K3" s="53">
        <v>42837</v>
      </c>
      <c r="L3" s="42" t="s">
        <v>166</v>
      </c>
      <c r="M3" s="43"/>
      <c r="N3" s="43"/>
      <c r="O3" s="43"/>
    </row>
    <row r="4" spans="1:15" ht="18.75" x14ac:dyDescent="0.3">
      <c r="A4" s="531" t="s">
        <v>91</v>
      </c>
      <c r="B4" s="532"/>
      <c r="C4" s="13"/>
      <c r="D4" s="13"/>
      <c r="E4" s="13"/>
      <c r="F4" s="13"/>
      <c r="G4" s="13"/>
      <c r="H4" s="13"/>
      <c r="I4" s="13"/>
      <c r="J4" s="13"/>
      <c r="K4" s="14"/>
      <c r="L4" s="42"/>
      <c r="M4" s="43"/>
      <c r="N4" s="43"/>
      <c r="O4" s="43"/>
    </row>
    <row r="5" spans="1:15" x14ac:dyDescent="0.3">
      <c r="A5" s="49"/>
      <c r="B5" s="17" t="s">
        <v>76</v>
      </c>
      <c r="C5" s="37" t="s">
        <v>92</v>
      </c>
      <c r="D5" s="37"/>
      <c r="E5" s="37"/>
      <c r="F5" s="37"/>
      <c r="G5" s="37"/>
      <c r="H5" s="18"/>
      <c r="I5" s="18"/>
      <c r="J5" s="18"/>
      <c r="K5" s="19"/>
      <c r="L5" s="42"/>
      <c r="M5" s="43"/>
      <c r="N5" s="43"/>
      <c r="O5" s="43"/>
    </row>
    <row r="6" spans="1:15" x14ac:dyDescent="0.3">
      <c r="A6" s="49"/>
      <c r="B6" s="17" t="s">
        <v>78</v>
      </c>
      <c r="C6" s="37" t="s">
        <v>94</v>
      </c>
      <c r="D6" s="37"/>
      <c r="E6" s="37"/>
      <c r="F6" s="37"/>
      <c r="G6" s="37"/>
      <c r="H6" s="18"/>
      <c r="I6" s="18"/>
      <c r="J6" s="18"/>
      <c r="K6" s="19"/>
      <c r="L6" s="42"/>
      <c r="M6" s="43"/>
      <c r="N6" s="43"/>
      <c r="O6" s="43"/>
    </row>
    <row r="7" spans="1:15" x14ac:dyDescent="0.3">
      <c r="A7" s="49"/>
      <c r="B7" s="56" t="s">
        <v>98</v>
      </c>
      <c r="C7" s="45" t="s">
        <v>167</v>
      </c>
      <c r="D7" s="37"/>
      <c r="E7" s="37"/>
      <c r="F7" s="37"/>
      <c r="G7" s="37"/>
      <c r="H7" s="18"/>
      <c r="I7" s="18"/>
      <c r="J7" s="18"/>
      <c r="K7" s="19"/>
      <c r="L7" s="42"/>
      <c r="M7" s="43"/>
      <c r="N7" s="43"/>
      <c r="O7" s="43"/>
    </row>
    <row r="8" spans="1:15" x14ac:dyDescent="0.3">
      <c r="A8" s="49"/>
      <c r="B8" s="17" t="s">
        <v>83</v>
      </c>
      <c r="C8" s="45" t="s">
        <v>168</v>
      </c>
      <c r="D8" s="37"/>
      <c r="E8" s="37"/>
      <c r="F8" s="37"/>
      <c r="G8" s="37"/>
      <c r="H8" s="18"/>
      <c r="I8" s="18"/>
      <c r="J8" s="18"/>
      <c r="K8" s="19"/>
      <c r="L8" s="42"/>
      <c r="M8" s="43"/>
      <c r="N8" s="43"/>
      <c r="O8" s="43"/>
    </row>
    <row r="9" spans="1:15" x14ac:dyDescent="0.3">
      <c r="A9" s="49"/>
      <c r="B9" s="17" t="s">
        <v>81</v>
      </c>
      <c r="C9" s="17">
        <v>8263131847</v>
      </c>
      <c r="D9" s="37"/>
      <c r="E9" s="37"/>
      <c r="F9" s="37"/>
      <c r="G9" s="37"/>
      <c r="H9" s="18"/>
      <c r="I9" s="18"/>
      <c r="J9" s="18"/>
      <c r="K9" s="19"/>
      <c r="L9" s="42"/>
      <c r="M9" s="43"/>
      <c r="N9" s="43"/>
      <c r="O9" s="43"/>
    </row>
    <row r="10" spans="1:15" ht="15" x14ac:dyDescent="0.25">
      <c r="A10" s="49"/>
      <c r="B10" s="17" t="s">
        <v>169</v>
      </c>
      <c r="C10" s="45" t="s">
        <v>170</v>
      </c>
      <c r="D10" s="37"/>
      <c r="E10" s="37"/>
      <c r="F10" s="37"/>
      <c r="G10" s="37"/>
      <c r="H10" s="18"/>
      <c r="I10" s="18"/>
      <c r="J10" s="18"/>
      <c r="K10" s="19"/>
      <c r="L10" s="42"/>
      <c r="M10" s="43"/>
      <c r="N10" s="43"/>
      <c r="O10" s="43"/>
    </row>
    <row r="11" spans="1:15" x14ac:dyDescent="0.3">
      <c r="A11" s="49"/>
      <c r="B11" s="17" t="s">
        <v>85</v>
      </c>
      <c r="C11" s="44" t="s">
        <v>171</v>
      </c>
      <c r="D11" s="37"/>
      <c r="E11" s="37"/>
      <c r="F11" s="37"/>
      <c r="G11" s="37"/>
      <c r="H11" s="18"/>
      <c r="I11" s="18"/>
      <c r="J11" s="18"/>
      <c r="K11" s="19"/>
      <c r="L11" s="42"/>
      <c r="M11" s="43"/>
      <c r="N11" s="43"/>
      <c r="O11" s="43"/>
    </row>
    <row r="12" spans="1:15" x14ac:dyDescent="0.3">
      <c r="A12" s="49"/>
      <c r="B12" s="56" t="s">
        <v>165</v>
      </c>
      <c r="C12" s="45" t="s">
        <v>172</v>
      </c>
      <c r="D12" s="37"/>
      <c r="E12" s="37"/>
      <c r="F12" s="37"/>
      <c r="G12" s="37"/>
      <c r="H12" s="18"/>
      <c r="I12" s="18"/>
      <c r="J12" s="18"/>
      <c r="K12" s="19"/>
      <c r="L12" s="42"/>
      <c r="M12" s="43"/>
      <c r="N12" s="43"/>
      <c r="O12" s="43"/>
    </row>
    <row r="13" spans="1:15" x14ac:dyDescent="0.3">
      <c r="A13" s="49"/>
      <c r="B13" s="17" t="s">
        <v>81</v>
      </c>
      <c r="C13" s="17" t="s">
        <v>174</v>
      </c>
      <c r="D13" s="37"/>
      <c r="E13" s="37"/>
      <c r="F13" s="37"/>
      <c r="G13" s="37"/>
      <c r="H13" s="18"/>
      <c r="I13" s="18"/>
      <c r="J13" s="18"/>
      <c r="K13" s="19"/>
      <c r="L13" s="42"/>
      <c r="M13" s="43"/>
      <c r="N13" s="43"/>
      <c r="O13" s="43"/>
    </row>
    <row r="14" spans="1:15" x14ac:dyDescent="0.3">
      <c r="A14" s="49"/>
      <c r="B14" s="17" t="s">
        <v>85</v>
      </c>
      <c r="C14" s="45" t="s">
        <v>173</v>
      </c>
      <c r="D14" s="37"/>
      <c r="E14" s="37"/>
      <c r="F14" s="37"/>
      <c r="G14" s="37"/>
      <c r="H14" s="18"/>
      <c r="I14" s="18"/>
      <c r="J14" s="18"/>
      <c r="K14" s="19"/>
      <c r="L14" s="42"/>
      <c r="M14" s="43"/>
      <c r="N14" s="43"/>
      <c r="O14" s="43"/>
    </row>
    <row r="15" spans="1:15" ht="15" x14ac:dyDescent="0.25">
      <c r="A15" s="50"/>
      <c r="B15" s="21"/>
      <c r="C15" s="21"/>
      <c r="D15" s="21"/>
      <c r="E15" s="21"/>
      <c r="F15" s="21"/>
      <c r="G15" s="21"/>
      <c r="H15" s="22"/>
      <c r="I15" s="22"/>
      <c r="J15" s="22"/>
      <c r="K15" s="23"/>
      <c r="L15" s="42"/>
      <c r="M15" s="43"/>
      <c r="N15" s="43"/>
      <c r="O15" s="43"/>
    </row>
    <row r="16" spans="1:15" ht="7.5" customHeight="1" x14ac:dyDescent="0.25">
      <c r="A16" s="47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5" ht="15" x14ac:dyDescent="0.25">
      <c r="A17" s="48" t="s">
        <v>139</v>
      </c>
      <c r="B17" s="1" t="s">
        <v>10</v>
      </c>
      <c r="C17" s="3" t="s">
        <v>7</v>
      </c>
      <c r="D17" s="41"/>
      <c r="E17" s="5" t="s">
        <v>5</v>
      </c>
      <c r="F17" s="6"/>
      <c r="G17" s="7">
        <v>42933</v>
      </c>
      <c r="H17" s="9">
        <v>243</v>
      </c>
      <c r="I17" s="8">
        <v>260</v>
      </c>
      <c r="J17" s="8">
        <v>63180</v>
      </c>
      <c r="K17" s="53">
        <v>42925</v>
      </c>
      <c r="L17" s="42"/>
      <c r="M17" s="43"/>
      <c r="N17" s="43"/>
      <c r="O17" s="43"/>
    </row>
    <row r="18" spans="1:15" ht="18.75" x14ac:dyDescent="0.3">
      <c r="A18" s="531" t="s">
        <v>91</v>
      </c>
      <c r="B18" s="532"/>
      <c r="C18" s="13"/>
      <c r="D18" s="13"/>
      <c r="E18" s="13"/>
      <c r="F18" s="13"/>
      <c r="G18" s="13"/>
      <c r="H18" s="13"/>
      <c r="I18" s="13"/>
      <c r="J18" s="13"/>
      <c r="K18" s="14"/>
    </row>
    <row r="19" spans="1:15" ht="13.35" customHeight="1" x14ac:dyDescent="0.3">
      <c r="A19" s="49"/>
      <c r="B19" s="17" t="s">
        <v>76</v>
      </c>
      <c r="C19" s="37"/>
      <c r="D19" s="37"/>
      <c r="E19" s="37"/>
      <c r="F19" s="37"/>
      <c r="G19" s="37"/>
      <c r="H19" s="18"/>
      <c r="I19" s="18"/>
      <c r="J19" s="18"/>
      <c r="K19" s="19"/>
    </row>
    <row r="20" spans="1:15" ht="13.35" customHeight="1" x14ac:dyDescent="0.3">
      <c r="A20" s="49"/>
      <c r="B20" s="17" t="s">
        <v>78</v>
      </c>
      <c r="C20" s="37"/>
      <c r="D20" s="37"/>
      <c r="E20" s="37"/>
      <c r="F20" s="37"/>
      <c r="G20" s="37"/>
      <c r="H20" s="18"/>
      <c r="I20" s="18"/>
      <c r="J20" s="18"/>
      <c r="K20" s="19"/>
    </row>
    <row r="21" spans="1:15" ht="13.35" customHeight="1" x14ac:dyDescent="0.3">
      <c r="A21" s="49"/>
      <c r="B21" s="17" t="s">
        <v>81</v>
      </c>
      <c r="C21" s="17"/>
      <c r="D21" s="37"/>
      <c r="E21" s="37"/>
      <c r="F21" s="37"/>
      <c r="G21" s="37"/>
      <c r="H21" s="18"/>
      <c r="I21" s="18"/>
      <c r="J21" s="18"/>
      <c r="K21" s="19"/>
    </row>
    <row r="22" spans="1:15" ht="13.35" customHeight="1" x14ac:dyDescent="0.3">
      <c r="A22" s="49"/>
      <c r="B22" s="17" t="s">
        <v>98</v>
      </c>
      <c r="C22" s="45"/>
      <c r="D22" s="37"/>
      <c r="E22" s="37"/>
      <c r="F22" s="37"/>
      <c r="G22" s="37"/>
      <c r="H22" s="18"/>
      <c r="I22" s="18"/>
      <c r="J22" s="18"/>
      <c r="K22" s="19"/>
    </row>
    <row r="23" spans="1:15" ht="13.35" customHeight="1" x14ac:dyDescent="0.3">
      <c r="A23" s="49"/>
      <c r="B23" s="17" t="s">
        <v>83</v>
      </c>
      <c r="C23" s="45"/>
      <c r="D23" s="37"/>
      <c r="E23" s="37"/>
      <c r="F23" s="37"/>
      <c r="G23" s="37"/>
      <c r="H23" s="18"/>
      <c r="I23" s="18"/>
      <c r="J23" s="18"/>
      <c r="K23" s="19"/>
    </row>
    <row r="24" spans="1:15" ht="13.35" customHeight="1" x14ac:dyDescent="0.25">
      <c r="A24" s="49"/>
      <c r="B24" s="17" t="s">
        <v>121</v>
      </c>
      <c r="C24" s="45"/>
      <c r="D24" s="37"/>
      <c r="E24" s="37"/>
      <c r="F24" s="37"/>
      <c r="G24" s="37"/>
      <c r="H24" s="18"/>
      <c r="I24" s="18"/>
      <c r="J24" s="18"/>
      <c r="K24" s="19"/>
    </row>
    <row r="25" spans="1:15" ht="13.35" customHeight="1" x14ac:dyDescent="0.3">
      <c r="A25" s="49"/>
      <c r="B25" s="17" t="s">
        <v>85</v>
      </c>
      <c r="C25" s="44"/>
      <c r="D25" s="37"/>
      <c r="E25" s="37"/>
      <c r="F25" s="37"/>
      <c r="G25" s="37"/>
      <c r="H25" s="18"/>
      <c r="I25" s="18"/>
      <c r="J25" s="18"/>
      <c r="K25" s="19"/>
    </row>
    <row r="26" spans="1:15" ht="13.35" customHeight="1" x14ac:dyDescent="0.25">
      <c r="A26" s="5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5" ht="7.5" customHeight="1" x14ac:dyDescent="0.25">
      <c r="A27" s="47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5" ht="15" x14ac:dyDescent="0.25">
      <c r="A28" s="48" t="s">
        <v>140</v>
      </c>
      <c r="B28" s="1" t="s">
        <v>11</v>
      </c>
      <c r="C28" s="3" t="s">
        <v>7</v>
      </c>
      <c r="D28" s="41" t="s">
        <v>152</v>
      </c>
      <c r="E28" s="5" t="s">
        <v>5</v>
      </c>
      <c r="F28" s="6"/>
      <c r="G28" s="7">
        <v>42929</v>
      </c>
      <c r="H28" s="9">
        <v>150</v>
      </c>
      <c r="I28" s="8">
        <v>260</v>
      </c>
      <c r="J28" s="8">
        <v>39000</v>
      </c>
      <c r="K28" s="53">
        <v>42915</v>
      </c>
      <c r="L28" s="42" t="s">
        <v>166</v>
      </c>
      <c r="M28" s="43"/>
      <c r="N28" s="43"/>
      <c r="O28" s="43"/>
    </row>
    <row r="29" spans="1:15" ht="18.75" x14ac:dyDescent="0.3">
      <c r="A29" s="531" t="s">
        <v>91</v>
      </c>
      <c r="B29" s="532"/>
      <c r="C29" s="13"/>
      <c r="D29" s="13"/>
      <c r="E29" s="13"/>
      <c r="F29" s="13"/>
      <c r="G29" s="13"/>
      <c r="H29" s="13"/>
      <c r="I29" s="13"/>
      <c r="J29" s="13"/>
      <c r="K29" s="14"/>
    </row>
    <row r="30" spans="1:15" ht="13.35" customHeight="1" x14ac:dyDescent="0.3">
      <c r="A30" s="49"/>
      <c r="B30" s="17" t="s">
        <v>76</v>
      </c>
      <c r="C30" s="37" t="s">
        <v>92</v>
      </c>
      <c r="D30" s="37"/>
      <c r="E30" s="37"/>
      <c r="F30" s="37"/>
      <c r="G30" s="37"/>
      <c r="H30" s="18"/>
      <c r="I30" s="18"/>
      <c r="J30" s="18"/>
      <c r="K30" s="19"/>
    </row>
    <row r="31" spans="1:15" ht="13.35" customHeight="1" x14ac:dyDescent="0.3">
      <c r="A31" s="49"/>
      <c r="B31" s="17" t="s">
        <v>78</v>
      </c>
      <c r="C31" s="37" t="s">
        <v>94</v>
      </c>
      <c r="D31" s="37"/>
      <c r="E31" s="37"/>
      <c r="F31" s="37"/>
      <c r="G31" s="37"/>
      <c r="H31" s="18"/>
      <c r="I31" s="18"/>
      <c r="J31" s="18"/>
      <c r="K31" s="19"/>
    </row>
    <row r="32" spans="1:15" ht="13.35" customHeight="1" x14ac:dyDescent="0.3">
      <c r="A32" s="49"/>
      <c r="B32" s="56" t="s">
        <v>98</v>
      </c>
      <c r="C32" s="17" t="s">
        <v>175</v>
      </c>
      <c r="D32" s="37"/>
      <c r="E32" s="37"/>
      <c r="F32" s="37"/>
      <c r="G32" s="37"/>
      <c r="H32" s="18"/>
      <c r="I32" s="18"/>
      <c r="J32" s="18"/>
      <c r="K32" s="19"/>
    </row>
    <row r="33" spans="1:12" ht="13.35" customHeight="1" x14ac:dyDescent="0.3">
      <c r="A33" s="49"/>
      <c r="B33" s="17" t="s">
        <v>83</v>
      </c>
      <c r="C33" s="45" t="s">
        <v>176</v>
      </c>
      <c r="D33" s="37"/>
      <c r="E33" s="37"/>
      <c r="F33" s="37"/>
      <c r="G33" s="37"/>
      <c r="H33" s="18"/>
      <c r="I33" s="18"/>
      <c r="J33" s="18"/>
      <c r="K33" s="19"/>
    </row>
    <row r="34" spans="1:12" ht="13.35" customHeight="1" x14ac:dyDescent="0.3">
      <c r="A34" s="49"/>
      <c r="B34" s="17" t="s">
        <v>81</v>
      </c>
      <c r="C34" s="45">
        <v>163838186</v>
      </c>
      <c r="D34" s="37"/>
      <c r="E34" s="37"/>
      <c r="F34" s="37"/>
      <c r="G34" s="37"/>
      <c r="H34" s="18"/>
      <c r="I34" s="18"/>
      <c r="J34" s="18"/>
      <c r="K34" s="19"/>
    </row>
    <row r="35" spans="1:12" ht="13.35" customHeight="1" x14ac:dyDescent="0.25">
      <c r="A35" s="49"/>
      <c r="B35" s="17" t="s">
        <v>169</v>
      </c>
      <c r="C35" s="45" t="s">
        <v>177</v>
      </c>
      <c r="D35" s="37"/>
      <c r="E35" s="37"/>
      <c r="F35" s="37"/>
      <c r="G35" s="37"/>
      <c r="H35" s="18"/>
      <c r="I35" s="18"/>
      <c r="J35" s="18"/>
      <c r="K35" s="19"/>
    </row>
    <row r="36" spans="1:12" ht="13.35" customHeight="1" x14ac:dyDescent="0.3">
      <c r="A36" s="49"/>
      <c r="B36" s="17" t="s">
        <v>85</v>
      </c>
      <c r="C36" s="45" t="s">
        <v>115</v>
      </c>
      <c r="D36" s="37"/>
      <c r="E36" s="37"/>
      <c r="F36" s="37"/>
      <c r="G36" s="37"/>
      <c r="H36" s="18"/>
      <c r="I36" s="18"/>
      <c r="J36" s="18"/>
      <c r="K36" s="19"/>
    </row>
    <row r="37" spans="1:12" ht="13.35" customHeight="1" x14ac:dyDescent="0.3">
      <c r="A37" s="49"/>
      <c r="B37" s="56" t="s">
        <v>165</v>
      </c>
      <c r="C37" s="45" t="s">
        <v>178</v>
      </c>
      <c r="D37" s="37"/>
      <c r="E37" s="37"/>
      <c r="F37" s="37"/>
      <c r="G37" s="37"/>
      <c r="H37" s="18"/>
      <c r="I37" s="18"/>
      <c r="J37" s="18"/>
      <c r="K37" s="19"/>
    </row>
    <row r="38" spans="1:12" ht="13.35" customHeight="1" x14ac:dyDescent="0.25">
      <c r="A38" s="49"/>
      <c r="B38" s="17" t="s">
        <v>121</v>
      </c>
      <c r="C38" s="57" t="s">
        <v>179</v>
      </c>
      <c r="D38" s="37"/>
      <c r="E38" s="37"/>
      <c r="F38" s="37"/>
      <c r="G38" s="37"/>
      <c r="H38" s="18"/>
      <c r="I38" s="18"/>
      <c r="J38" s="18"/>
      <c r="K38" s="19"/>
    </row>
    <row r="39" spans="1:12" ht="13.35" customHeight="1" x14ac:dyDescent="0.3">
      <c r="A39" s="49"/>
      <c r="B39" s="17" t="s">
        <v>85</v>
      </c>
      <c r="C39" s="45" t="s">
        <v>120</v>
      </c>
      <c r="D39" s="37"/>
      <c r="E39" s="37"/>
      <c r="F39" s="37"/>
      <c r="G39" s="37"/>
      <c r="H39" s="18"/>
      <c r="I39" s="18"/>
      <c r="J39" s="18"/>
      <c r="K39" s="19"/>
    </row>
    <row r="40" spans="1:12" ht="13.35" customHeight="1" x14ac:dyDescent="0.25">
      <c r="A40" s="50"/>
      <c r="B40" s="21"/>
      <c r="C40" s="21"/>
      <c r="D40" s="21"/>
      <c r="E40" s="21"/>
      <c r="F40" s="21"/>
      <c r="G40" s="21"/>
      <c r="H40" s="22"/>
      <c r="I40" s="22"/>
      <c r="J40" s="22"/>
      <c r="K40" s="23"/>
    </row>
    <row r="41" spans="1:12" ht="7.5" customHeight="1" x14ac:dyDescent="0.25">
      <c r="A41" s="47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2" x14ac:dyDescent="0.3">
      <c r="A42" s="48" t="s">
        <v>160</v>
      </c>
      <c r="B42" s="1" t="s">
        <v>43</v>
      </c>
      <c r="C42" s="3" t="s">
        <v>42</v>
      </c>
      <c r="D42" s="41">
        <v>300000008</v>
      </c>
      <c r="E42" s="5">
        <v>90</v>
      </c>
      <c r="F42" s="6" t="s">
        <v>20</v>
      </c>
      <c r="G42" s="7">
        <v>42926</v>
      </c>
      <c r="H42" s="9">
        <v>55.86</v>
      </c>
      <c r="I42" s="8">
        <v>280</v>
      </c>
      <c r="J42" s="8">
        <v>15640.8</v>
      </c>
      <c r="K42" s="53">
        <v>42829</v>
      </c>
      <c r="L42" s="42" t="s">
        <v>166</v>
      </c>
    </row>
    <row r="43" spans="1:12" ht="18.75" x14ac:dyDescent="0.3">
      <c r="A43" s="531" t="s">
        <v>91</v>
      </c>
      <c r="B43" s="532"/>
      <c r="C43" s="13"/>
      <c r="D43" s="13"/>
      <c r="E43" s="13"/>
      <c r="F43" s="13"/>
      <c r="G43" s="13"/>
      <c r="H43" s="13"/>
      <c r="I43" s="13"/>
      <c r="J43" s="13"/>
      <c r="K43" s="14"/>
    </row>
    <row r="44" spans="1:12" ht="13.35" customHeight="1" x14ac:dyDescent="0.3">
      <c r="A44" s="49"/>
      <c r="B44" s="17" t="s">
        <v>76</v>
      </c>
      <c r="C44" s="37" t="s">
        <v>42</v>
      </c>
      <c r="D44" s="37"/>
      <c r="E44" s="37"/>
      <c r="F44" s="37"/>
      <c r="G44" s="37"/>
      <c r="H44" s="18"/>
      <c r="I44" s="18"/>
      <c r="J44" s="18"/>
      <c r="K44" s="19"/>
    </row>
    <row r="45" spans="1:12" ht="13.35" customHeight="1" x14ac:dyDescent="0.3">
      <c r="A45" s="49"/>
      <c r="B45" s="17" t="s">
        <v>78</v>
      </c>
      <c r="C45" s="37" t="s">
        <v>119</v>
      </c>
      <c r="D45" s="37"/>
      <c r="E45" s="37"/>
      <c r="F45" s="37"/>
      <c r="G45" s="37"/>
      <c r="H45" s="37"/>
      <c r="I45" s="18"/>
      <c r="J45" s="18"/>
      <c r="K45" s="19"/>
    </row>
    <row r="46" spans="1:12" ht="13.35" customHeight="1" x14ac:dyDescent="0.3">
      <c r="A46" s="49"/>
      <c r="B46" s="17" t="s">
        <v>81</v>
      </c>
      <c r="C46" s="37" t="s">
        <v>117</v>
      </c>
      <c r="D46" s="37"/>
      <c r="E46" s="37"/>
      <c r="F46" s="37"/>
      <c r="G46" s="37"/>
      <c r="H46" s="18"/>
      <c r="I46" s="18"/>
      <c r="J46" s="18"/>
      <c r="K46" s="19"/>
    </row>
    <row r="47" spans="1:12" ht="13.35" customHeight="1" x14ac:dyDescent="0.3">
      <c r="A47" s="49"/>
      <c r="B47" s="17" t="s">
        <v>98</v>
      </c>
      <c r="C47" s="44" t="s">
        <v>118</v>
      </c>
      <c r="D47" s="37"/>
      <c r="E47" s="37"/>
      <c r="F47" s="37"/>
      <c r="G47" s="37"/>
      <c r="H47" s="18"/>
      <c r="I47" s="18"/>
      <c r="J47" s="18"/>
      <c r="K47" s="19"/>
    </row>
    <row r="48" spans="1:12" ht="13.35" customHeight="1" x14ac:dyDescent="0.3">
      <c r="A48" s="49"/>
      <c r="B48" s="17" t="s">
        <v>83</v>
      </c>
      <c r="C48" s="37" t="s">
        <v>116</v>
      </c>
      <c r="D48" s="37"/>
      <c r="E48" s="37"/>
      <c r="F48" s="37"/>
      <c r="G48" s="37"/>
      <c r="H48" s="18"/>
      <c r="I48" s="18"/>
      <c r="J48" s="18"/>
      <c r="K48" s="19"/>
    </row>
    <row r="49" spans="1:12" ht="13.35" customHeight="1" x14ac:dyDescent="0.3">
      <c r="A49" s="49"/>
      <c r="B49" s="17" t="s">
        <v>84</v>
      </c>
      <c r="C49" s="37" t="s">
        <v>114</v>
      </c>
      <c r="D49" s="37"/>
      <c r="E49" s="37"/>
      <c r="F49" s="37"/>
      <c r="G49" s="37"/>
      <c r="H49" s="18"/>
      <c r="I49" s="18"/>
      <c r="J49" s="18"/>
      <c r="K49" s="19"/>
    </row>
    <row r="50" spans="1:12" ht="13.35" customHeight="1" x14ac:dyDescent="0.3">
      <c r="A50" s="49"/>
      <c r="B50" s="17" t="s">
        <v>85</v>
      </c>
      <c r="C50" s="37" t="s">
        <v>115</v>
      </c>
      <c r="D50" s="37"/>
      <c r="E50" s="37"/>
      <c r="F50" s="37"/>
      <c r="G50" s="37"/>
      <c r="H50" s="18"/>
      <c r="I50" s="18"/>
      <c r="J50" s="18"/>
      <c r="K50" s="19"/>
    </row>
    <row r="51" spans="1:12" ht="13.35" customHeight="1" x14ac:dyDescent="0.3">
      <c r="A51" s="50"/>
      <c r="B51" s="21"/>
      <c r="C51" s="21"/>
      <c r="D51" s="21"/>
      <c r="E51" s="21"/>
      <c r="F51" s="21"/>
      <c r="G51" s="21"/>
      <c r="H51" s="22"/>
      <c r="I51" s="22"/>
      <c r="J51" s="22"/>
      <c r="K51" s="23"/>
    </row>
    <row r="52" spans="1:12" ht="7.35" customHeight="1" x14ac:dyDescent="0.3">
      <c r="A52" s="47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2" ht="13.35" customHeight="1" x14ac:dyDescent="0.3">
      <c r="A53" s="48" t="s">
        <v>132</v>
      </c>
      <c r="B53" s="1" t="s">
        <v>13</v>
      </c>
      <c r="C53" s="3" t="s">
        <v>27</v>
      </c>
      <c r="D53" s="41">
        <v>707789</v>
      </c>
      <c r="E53" s="5">
        <v>90</v>
      </c>
      <c r="F53" s="6" t="s">
        <v>20</v>
      </c>
      <c r="G53" s="7">
        <v>42929</v>
      </c>
      <c r="H53" s="9">
        <v>54</v>
      </c>
      <c r="I53" s="8">
        <v>550.29</v>
      </c>
      <c r="J53" s="8">
        <v>29715.659999999996</v>
      </c>
      <c r="K53" s="53">
        <v>42839</v>
      </c>
      <c r="L53" s="42" t="s">
        <v>166</v>
      </c>
    </row>
    <row r="54" spans="1:12" ht="19.350000000000001" customHeight="1" x14ac:dyDescent="0.35">
      <c r="A54" s="531" t="s">
        <v>91</v>
      </c>
      <c r="B54" s="532"/>
      <c r="C54" s="13"/>
      <c r="D54" s="13"/>
      <c r="E54" s="13"/>
      <c r="F54" s="13"/>
      <c r="G54" s="13"/>
      <c r="H54" s="13"/>
      <c r="I54" s="13"/>
      <c r="J54" s="13"/>
      <c r="K54" s="14"/>
    </row>
    <row r="55" spans="1:12" ht="13.35" customHeight="1" x14ac:dyDescent="0.3">
      <c r="A55" s="49"/>
      <c r="B55" s="17" t="s">
        <v>76</v>
      </c>
      <c r="C55" s="37" t="s">
        <v>123</v>
      </c>
      <c r="D55" s="37"/>
      <c r="E55" s="37"/>
      <c r="F55" s="37"/>
      <c r="G55" s="37"/>
      <c r="H55" s="18"/>
      <c r="I55" s="18"/>
      <c r="J55" s="18"/>
      <c r="K55" s="19"/>
    </row>
    <row r="56" spans="1:12" ht="13.35" customHeight="1" x14ac:dyDescent="0.3">
      <c r="A56" s="49"/>
      <c r="B56" s="17" t="s">
        <v>78</v>
      </c>
      <c r="C56" s="37" t="s">
        <v>125</v>
      </c>
      <c r="D56" s="37"/>
      <c r="E56" s="37"/>
      <c r="F56" s="37"/>
      <c r="G56" s="37"/>
      <c r="H56" s="18"/>
      <c r="I56" s="18"/>
      <c r="J56" s="18"/>
      <c r="K56" s="19"/>
    </row>
    <row r="57" spans="1:12" ht="13.35" customHeight="1" x14ac:dyDescent="0.3">
      <c r="A57" s="49"/>
      <c r="B57" s="17" t="s">
        <v>81</v>
      </c>
      <c r="C57" s="17">
        <v>293200001</v>
      </c>
      <c r="D57" s="37"/>
      <c r="E57" s="37"/>
      <c r="F57" s="37"/>
      <c r="G57" s="37"/>
      <c r="H57" s="18"/>
      <c r="I57" s="18"/>
      <c r="J57" s="18"/>
      <c r="K57" s="19"/>
      <c r="L57" s="10" t="s">
        <v>180</v>
      </c>
    </row>
    <row r="58" spans="1:12" ht="13.35" customHeight="1" x14ac:dyDescent="0.3">
      <c r="A58" s="49"/>
      <c r="B58" s="17" t="s">
        <v>98</v>
      </c>
      <c r="C58" s="37" t="s">
        <v>113</v>
      </c>
      <c r="D58" s="37"/>
      <c r="E58" s="37"/>
      <c r="F58" s="37"/>
      <c r="G58" s="37"/>
      <c r="H58" s="18"/>
      <c r="I58" s="18"/>
      <c r="J58" s="18"/>
      <c r="K58" s="19"/>
    </row>
    <row r="59" spans="1:12" ht="13.35" customHeight="1" x14ac:dyDescent="0.3">
      <c r="A59" s="49"/>
      <c r="B59" s="17" t="s">
        <v>83</v>
      </c>
      <c r="C59" s="44" t="s">
        <v>126</v>
      </c>
      <c r="D59" s="37"/>
      <c r="E59" s="37"/>
      <c r="F59" s="37"/>
      <c r="G59" s="37"/>
      <c r="H59" s="18"/>
      <c r="I59" s="18"/>
      <c r="J59" s="18"/>
      <c r="K59" s="19"/>
    </row>
    <row r="60" spans="1:12" ht="13.35" customHeight="1" x14ac:dyDescent="0.3">
      <c r="A60" s="49"/>
      <c r="B60" s="17" t="s">
        <v>84</v>
      </c>
      <c r="C60" s="37" t="s">
        <v>124</v>
      </c>
      <c r="D60" s="37"/>
      <c r="E60" s="37"/>
      <c r="F60" s="37"/>
      <c r="G60" s="37"/>
      <c r="H60" s="18"/>
      <c r="I60" s="18"/>
      <c r="J60" s="18"/>
      <c r="K60" s="19"/>
    </row>
    <row r="61" spans="1:12" ht="13.35" customHeight="1" x14ac:dyDescent="0.3">
      <c r="A61" s="49"/>
      <c r="B61" s="17" t="s">
        <v>85</v>
      </c>
      <c r="C61" s="37" t="s">
        <v>122</v>
      </c>
      <c r="D61" s="37"/>
      <c r="E61" s="37"/>
      <c r="F61" s="37"/>
      <c r="G61" s="37"/>
      <c r="H61" s="18"/>
      <c r="I61" s="18"/>
      <c r="J61" s="18"/>
      <c r="K61" s="19"/>
    </row>
    <row r="62" spans="1:12" ht="13.35" customHeight="1" x14ac:dyDescent="0.3">
      <c r="A62" s="50"/>
      <c r="B62" s="21"/>
      <c r="C62" s="21"/>
      <c r="D62" s="21"/>
      <c r="E62" s="21"/>
      <c r="F62" s="21"/>
      <c r="G62" s="21"/>
      <c r="H62" s="22"/>
      <c r="I62" s="22"/>
      <c r="J62" s="22"/>
      <c r="K62" s="23"/>
    </row>
  </sheetData>
  <mergeCells count="6">
    <mergeCell ref="A4:B4"/>
    <mergeCell ref="A18:B18"/>
    <mergeCell ref="L1:O1"/>
    <mergeCell ref="A54:B54"/>
    <mergeCell ref="A29:B29"/>
    <mergeCell ref="A43:B43"/>
  </mergeCells>
  <conditionalFormatting sqref="G53">
    <cfRule type="cellIs" dxfId="1884" priority="8" operator="between">
      <formula>TODAY()</formula>
      <formula>TODAY()+10</formula>
    </cfRule>
  </conditionalFormatting>
  <conditionalFormatting sqref="G3 G17 G28">
    <cfRule type="cellIs" dxfId="1883" priority="6" operator="between">
      <formula>TODAY()</formula>
      <formula>TODAY()+10</formula>
    </cfRule>
  </conditionalFormatting>
  <conditionalFormatting sqref="G3 G17 G28">
    <cfRule type="cellIs" dxfId="1882" priority="5" operator="between">
      <formula>TODAY()</formula>
      <formula>TODAY()+10</formula>
    </cfRule>
  </conditionalFormatting>
  <conditionalFormatting sqref="G42">
    <cfRule type="cellIs" dxfId="1881" priority="3" operator="between">
      <formula>TODAY()</formula>
      <formula>TODAY()+10</formula>
    </cfRule>
  </conditionalFormatting>
  <dataValidations count="4">
    <dataValidation type="list" allowBlank="1" showInputMessage="1" showErrorMessage="1" sqref="E53 E42 E3 E17 E28">
      <formula1>PLAZOdePAGO</formula1>
    </dataValidation>
    <dataValidation type="list" allowBlank="1" showInputMessage="1" showErrorMessage="1" sqref="F42 F53">
      <formula1>PLAZOdePAGO2</formula1>
    </dataValidation>
    <dataValidation type="list" allowBlank="1" showInputMessage="1" showErrorMessage="1" sqref="C42:D42 C53:D53">
      <formula1>PROVEEDORES</formula1>
    </dataValidation>
    <dataValidation type="list" allowBlank="1" showInputMessage="1" showErrorMessage="1" sqref="B42 B53">
      <formula1>MATERIALES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N35" sqref="N35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678</v>
      </c>
      <c r="B3" s="1" t="s">
        <v>6</v>
      </c>
      <c r="C3" s="107" t="s">
        <v>246</v>
      </c>
      <c r="D3" s="109">
        <v>3300003218</v>
      </c>
      <c r="E3" s="5">
        <v>90</v>
      </c>
      <c r="F3" s="6" t="s">
        <v>20</v>
      </c>
      <c r="G3" s="7">
        <v>43290</v>
      </c>
      <c r="H3" s="9">
        <v>162</v>
      </c>
      <c r="I3" s="8">
        <v>532</v>
      </c>
      <c r="J3" s="8">
        <f>+I3*H3</f>
        <v>86184</v>
      </c>
      <c r="K3" s="106">
        <v>43195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/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17"/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84</v>
      </c>
      <c r="C8" s="44"/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44"/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56" t="s">
        <v>461</v>
      </c>
      <c r="C10" s="17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84</v>
      </c>
      <c r="C11" s="44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165</v>
      </c>
      <c r="C12" s="44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84</v>
      </c>
      <c r="C13" s="44"/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5" x14ac:dyDescent="0.25">
      <c r="A16" s="48" t="s">
        <v>729</v>
      </c>
      <c r="B16" s="1" t="s">
        <v>13</v>
      </c>
      <c r="C16" s="107" t="s">
        <v>15</v>
      </c>
      <c r="D16" s="109" t="s">
        <v>778</v>
      </c>
      <c r="E16" s="5" t="s">
        <v>5</v>
      </c>
      <c r="F16" s="6"/>
      <c r="G16" s="7">
        <v>43290</v>
      </c>
      <c r="H16" s="9">
        <v>240</v>
      </c>
      <c r="I16" s="8">
        <v>808</v>
      </c>
      <c r="J16" s="8">
        <v>193920</v>
      </c>
      <c r="K16" s="106"/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 t="s">
        <v>15</v>
      </c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 t="s">
        <v>227</v>
      </c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 t="s">
        <v>761</v>
      </c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>
        <v>8263292948</v>
      </c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 t="s">
        <v>762</v>
      </c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 t="s">
        <v>171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 t="s">
        <v>763</v>
      </c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 t="s">
        <v>174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 t="s">
        <v>764</v>
      </c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  <row r="28" spans="1:12" ht="3.75" customHeight="1" x14ac:dyDescent="0.25">
      <c r="A28" s="47"/>
      <c r="B28" s="24"/>
      <c r="C28" s="24"/>
      <c r="D28" s="71"/>
      <c r="E28" s="24"/>
      <c r="F28" s="24"/>
      <c r="G28" s="24"/>
      <c r="H28" s="24"/>
      <c r="I28" s="24"/>
      <c r="J28" s="24"/>
      <c r="K28" s="24"/>
    </row>
    <row r="29" spans="1:12" ht="15" x14ac:dyDescent="0.25">
      <c r="A29" s="48" t="s">
        <v>725</v>
      </c>
      <c r="B29" s="1" t="s">
        <v>359</v>
      </c>
      <c r="C29" s="107" t="s">
        <v>7</v>
      </c>
      <c r="D29" s="109"/>
      <c r="E29" s="5" t="s">
        <v>5</v>
      </c>
      <c r="F29" s="6"/>
      <c r="G29" s="7">
        <v>43293</v>
      </c>
      <c r="H29" s="9">
        <v>250</v>
      </c>
      <c r="I29" s="8">
        <v>786</v>
      </c>
      <c r="J29" s="8">
        <v>196500</v>
      </c>
      <c r="K29" s="106"/>
    </row>
    <row r="30" spans="1:12" ht="15" x14ac:dyDescent="0.25">
      <c r="A30" s="48" t="s">
        <v>726</v>
      </c>
      <c r="B30" s="1" t="s">
        <v>359</v>
      </c>
      <c r="C30" s="107" t="s">
        <v>7</v>
      </c>
      <c r="D30" s="109"/>
      <c r="E30" s="5" t="s">
        <v>5</v>
      </c>
      <c r="F30" s="6"/>
      <c r="G30" s="7">
        <v>43293</v>
      </c>
      <c r="H30" s="9">
        <v>250</v>
      </c>
      <c r="I30" s="8">
        <v>791</v>
      </c>
      <c r="J30" s="8">
        <v>197750</v>
      </c>
      <c r="K30" s="106"/>
    </row>
    <row r="31" spans="1:12" ht="18.75" x14ac:dyDescent="0.3">
      <c r="A31" s="531" t="s">
        <v>91</v>
      </c>
      <c r="B31" s="532"/>
      <c r="C31" s="13"/>
      <c r="D31" s="72"/>
      <c r="E31" s="13"/>
      <c r="F31" s="13"/>
      <c r="G31" s="13"/>
      <c r="H31" s="13"/>
      <c r="I31" s="13"/>
      <c r="J31" s="13"/>
      <c r="K31" s="14"/>
    </row>
    <row r="32" spans="1:12" x14ac:dyDescent="0.3">
      <c r="A32" s="49"/>
      <c r="B32" s="17" t="s">
        <v>76</v>
      </c>
      <c r="C32" s="37"/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78</v>
      </c>
      <c r="C33" s="37"/>
      <c r="D33" s="73"/>
      <c r="E33" s="37"/>
      <c r="F33" s="37"/>
      <c r="G33" s="37"/>
      <c r="H33" s="18"/>
      <c r="I33" s="59"/>
      <c r="J33" s="18"/>
      <c r="K33" s="19"/>
    </row>
    <row r="34" spans="1:12" x14ac:dyDescent="0.3">
      <c r="A34" s="49"/>
      <c r="B34" s="56" t="s">
        <v>98</v>
      </c>
      <c r="C34" s="45"/>
      <c r="D34" s="73"/>
      <c r="E34" s="37"/>
      <c r="F34" s="37"/>
      <c r="G34" s="37"/>
      <c r="H34" s="18"/>
      <c r="I34" s="18"/>
      <c r="J34" s="18"/>
      <c r="K34" s="19"/>
      <c r="L34" s="108"/>
    </row>
    <row r="35" spans="1:12" x14ac:dyDescent="0.3">
      <c r="A35" s="49"/>
      <c r="B35" s="17" t="s">
        <v>81</v>
      </c>
      <c r="C35" s="45"/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169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49"/>
      <c r="B37" s="17" t="s">
        <v>85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56" t="s">
        <v>461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81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17" t="s">
        <v>85</v>
      </c>
      <c r="C40" s="45"/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50"/>
      <c r="B41" s="21"/>
      <c r="C41" s="111"/>
      <c r="D41" s="74"/>
      <c r="E41" s="38"/>
      <c r="F41" s="38"/>
      <c r="G41" s="38"/>
      <c r="H41" s="22"/>
      <c r="I41" s="22"/>
      <c r="J41" s="22"/>
      <c r="K41" s="23"/>
      <c r="L41" s="108"/>
    </row>
  </sheetData>
  <mergeCells count="4">
    <mergeCell ref="L1:P1"/>
    <mergeCell ref="A4:B4"/>
    <mergeCell ref="A17:B17"/>
    <mergeCell ref="A31:B31"/>
  </mergeCells>
  <conditionalFormatting sqref="G16">
    <cfRule type="cellIs" dxfId="1689" priority="30" operator="between">
      <formula>TODAY()</formula>
      <formula>TODAY()+10</formula>
    </cfRule>
  </conditionalFormatting>
  <conditionalFormatting sqref="G3">
    <cfRule type="cellIs" dxfId="1688" priority="24" operator="between">
      <formula>TODAY()</formula>
      <formula>TODAY()+10</formula>
    </cfRule>
  </conditionalFormatting>
  <conditionalFormatting sqref="G29:G30">
    <cfRule type="cellIs" dxfId="1687" priority="14" operator="between">
      <formula>TODAY()</formula>
      <formula>TODAY()+10</formula>
    </cfRule>
  </conditionalFormatting>
  <dataValidations count="3">
    <dataValidation type="list" allowBlank="1" showInputMessage="1" showErrorMessage="1" sqref="F27 F4:F14 F41">
      <formula1>PLAZOdePAGO2</formula1>
    </dataValidation>
    <dataValidation type="list" allowBlank="1" showInputMessage="1" showErrorMessage="1" sqref="E27 E4:E14 E41">
      <formula1>PLAZOdePAGO</formula1>
    </dataValidation>
    <dataValidation type="list" allowBlank="1" showInputMessage="1" showErrorMessage="1" sqref="C14 C27 C41">
      <formula1>PROVEEDORES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2" sqref="A2"/>
    </sheetView>
  </sheetViews>
  <sheetFormatPr baseColWidth="10" defaultRowHeight="14.4" x14ac:dyDescent="0.3"/>
  <cols>
    <col min="2" max="2" width="28.5546875" customWidth="1"/>
    <col min="3" max="3" width="14.44140625" customWidth="1"/>
    <col min="11" max="11" width="11.44140625" style="10"/>
  </cols>
  <sheetData>
    <row r="1" spans="1:11" ht="24" x14ac:dyDescent="0.25">
      <c r="A1" s="113" t="s">
        <v>501</v>
      </c>
      <c r="B1" s="113" t="s">
        <v>1</v>
      </c>
      <c r="C1" s="113" t="s">
        <v>2</v>
      </c>
      <c r="D1" s="113" t="s">
        <v>111</v>
      </c>
      <c r="E1" s="113" t="s">
        <v>21</v>
      </c>
      <c r="F1" s="113" t="s">
        <v>22</v>
      </c>
      <c r="G1" s="116" t="s">
        <v>3</v>
      </c>
      <c r="H1" s="46" t="s">
        <v>19</v>
      </c>
      <c r="I1" s="46" t="s">
        <v>23</v>
      </c>
      <c r="J1" s="46" t="s">
        <v>75</v>
      </c>
      <c r="K1" s="61" t="s">
        <v>633</v>
      </c>
    </row>
    <row r="2" spans="1:11" s="129" customFormat="1" x14ac:dyDescent="0.3">
      <c r="A2" s="124" t="s">
        <v>510</v>
      </c>
      <c r="B2" s="124" t="s">
        <v>511</v>
      </c>
      <c r="C2" s="124" t="s">
        <v>506</v>
      </c>
      <c r="D2" s="124" t="s">
        <v>528</v>
      </c>
      <c r="E2" s="125">
        <v>45</v>
      </c>
      <c r="F2" s="125" t="s">
        <v>509</v>
      </c>
      <c r="G2" s="126">
        <v>43119</v>
      </c>
      <c r="H2" s="127">
        <v>10</v>
      </c>
      <c r="I2" s="127">
        <v>305</v>
      </c>
      <c r="J2" s="128">
        <f t="shared" ref="J2:J21" si="0">+H2*I2</f>
        <v>3050</v>
      </c>
      <c r="K2" s="128">
        <f t="shared" ref="K2:K16" si="1">+J2*1.18</f>
        <v>3599</v>
      </c>
    </row>
    <row r="3" spans="1:11" s="129" customFormat="1" x14ac:dyDescent="0.3">
      <c r="A3" s="124" t="s">
        <v>540</v>
      </c>
      <c r="B3" s="124" t="s">
        <v>530</v>
      </c>
      <c r="C3" s="124" t="s">
        <v>506</v>
      </c>
      <c r="D3" s="124" t="s">
        <v>545</v>
      </c>
      <c r="E3" s="125">
        <v>45</v>
      </c>
      <c r="F3" s="125" t="s">
        <v>509</v>
      </c>
      <c r="G3" s="126">
        <v>43132</v>
      </c>
      <c r="H3" s="127">
        <v>35</v>
      </c>
      <c r="I3" s="127">
        <v>186.5</v>
      </c>
      <c r="J3" s="128">
        <f t="shared" si="0"/>
        <v>6527.5</v>
      </c>
      <c r="K3" s="128">
        <f t="shared" si="1"/>
        <v>7702.45</v>
      </c>
    </row>
    <row r="4" spans="1:11" s="129" customFormat="1" x14ac:dyDescent="0.3">
      <c r="A4" s="124" t="s">
        <v>541</v>
      </c>
      <c r="B4" s="124" t="s">
        <v>530</v>
      </c>
      <c r="C4" s="124" t="s">
        <v>506</v>
      </c>
      <c r="D4" s="124" t="s">
        <v>546</v>
      </c>
      <c r="E4" s="125">
        <v>45</v>
      </c>
      <c r="F4" s="125" t="s">
        <v>509</v>
      </c>
      <c r="G4" s="126">
        <v>43132</v>
      </c>
      <c r="H4" s="127">
        <v>26.074999999999999</v>
      </c>
      <c r="I4" s="127">
        <v>186.5</v>
      </c>
      <c r="J4" s="128">
        <f t="shared" si="0"/>
        <v>4862.9875000000002</v>
      </c>
      <c r="K4" s="128">
        <f t="shared" si="1"/>
        <v>5738.3252499999999</v>
      </c>
    </row>
    <row r="5" spans="1:11" s="129" customFormat="1" x14ac:dyDescent="0.3">
      <c r="A5" s="124" t="s">
        <v>542</v>
      </c>
      <c r="B5" s="124" t="s">
        <v>530</v>
      </c>
      <c r="C5" s="124" t="s">
        <v>506</v>
      </c>
      <c r="D5" s="124" t="s">
        <v>555</v>
      </c>
      <c r="E5" s="125">
        <v>45</v>
      </c>
      <c r="F5" s="125" t="s">
        <v>509</v>
      </c>
      <c r="G5" s="126">
        <v>43132</v>
      </c>
      <c r="H5" s="127">
        <v>30</v>
      </c>
      <c r="I5" s="127">
        <v>186.5</v>
      </c>
      <c r="J5" s="128">
        <f t="shared" si="0"/>
        <v>5595</v>
      </c>
      <c r="K5" s="128">
        <f t="shared" si="1"/>
        <v>6602.0999999999995</v>
      </c>
    </row>
    <row r="6" spans="1:11" s="129" customFormat="1" x14ac:dyDescent="0.3">
      <c r="A6" s="124" t="s">
        <v>543</v>
      </c>
      <c r="B6" s="124" t="s">
        <v>530</v>
      </c>
      <c r="C6" s="124" t="s">
        <v>506</v>
      </c>
      <c r="D6" s="124" t="s">
        <v>556</v>
      </c>
      <c r="E6" s="125">
        <v>45</v>
      </c>
      <c r="F6" s="125" t="s">
        <v>509</v>
      </c>
      <c r="G6" s="126">
        <v>43132</v>
      </c>
      <c r="H6" s="127">
        <v>35</v>
      </c>
      <c r="I6" s="127">
        <v>186.5</v>
      </c>
      <c r="J6" s="128">
        <f t="shared" si="0"/>
        <v>6527.5</v>
      </c>
      <c r="K6" s="128">
        <f t="shared" si="1"/>
        <v>7702.45</v>
      </c>
    </row>
    <row r="7" spans="1:11" s="129" customFormat="1" x14ac:dyDescent="0.3">
      <c r="A7" s="124" t="s">
        <v>544</v>
      </c>
      <c r="B7" s="124" t="s">
        <v>530</v>
      </c>
      <c r="C7" s="124" t="s">
        <v>506</v>
      </c>
      <c r="D7" s="124" t="s">
        <v>557</v>
      </c>
      <c r="E7" s="125">
        <v>45</v>
      </c>
      <c r="F7" s="125" t="s">
        <v>509</v>
      </c>
      <c r="G7" s="126">
        <v>43132</v>
      </c>
      <c r="H7" s="127">
        <v>32</v>
      </c>
      <c r="I7" s="127">
        <v>186.5</v>
      </c>
      <c r="J7" s="128">
        <f t="shared" si="0"/>
        <v>5968</v>
      </c>
      <c r="K7" s="128">
        <f t="shared" si="1"/>
        <v>7042.24</v>
      </c>
    </row>
    <row r="8" spans="1:11" s="129" customFormat="1" x14ac:dyDescent="0.3">
      <c r="A8" s="124" t="s">
        <v>558</v>
      </c>
      <c r="B8" s="124" t="s">
        <v>530</v>
      </c>
      <c r="C8" s="124" t="s">
        <v>506</v>
      </c>
      <c r="D8" s="124" t="s">
        <v>595</v>
      </c>
      <c r="E8" s="125">
        <v>45</v>
      </c>
      <c r="F8" s="125" t="s">
        <v>509</v>
      </c>
      <c r="G8" s="126">
        <v>43146</v>
      </c>
      <c r="H8" s="127">
        <v>31</v>
      </c>
      <c r="I8" s="127">
        <v>186.5</v>
      </c>
      <c r="J8" s="128">
        <f t="shared" si="0"/>
        <v>5781.5</v>
      </c>
      <c r="K8" s="128">
        <f t="shared" si="1"/>
        <v>6822.17</v>
      </c>
    </row>
    <row r="9" spans="1:11" s="129" customFormat="1" x14ac:dyDescent="0.3">
      <c r="A9" s="124" t="s">
        <v>591</v>
      </c>
      <c r="B9" s="124" t="s">
        <v>530</v>
      </c>
      <c r="C9" s="124" t="s">
        <v>506</v>
      </c>
      <c r="D9" s="124" t="s">
        <v>596</v>
      </c>
      <c r="E9" s="125">
        <v>45</v>
      </c>
      <c r="F9" s="125" t="s">
        <v>509</v>
      </c>
      <c r="G9" s="126">
        <v>43146</v>
      </c>
      <c r="H9" s="127">
        <v>9.9</v>
      </c>
      <c r="I9" s="127">
        <v>186.5</v>
      </c>
      <c r="J9" s="128">
        <f t="shared" si="0"/>
        <v>1846.3500000000001</v>
      </c>
      <c r="K9" s="128">
        <f t="shared" si="1"/>
        <v>2178.6930000000002</v>
      </c>
    </row>
    <row r="10" spans="1:11" s="129" customFormat="1" x14ac:dyDescent="0.3">
      <c r="A10" s="124" t="s">
        <v>593</v>
      </c>
      <c r="B10" s="124" t="s">
        <v>530</v>
      </c>
      <c r="C10" s="124" t="s">
        <v>506</v>
      </c>
      <c r="D10" s="124" t="s">
        <v>597</v>
      </c>
      <c r="E10" s="125">
        <v>45</v>
      </c>
      <c r="F10" s="125" t="s">
        <v>509</v>
      </c>
      <c r="G10" s="126">
        <v>43146</v>
      </c>
      <c r="H10" s="127">
        <v>22</v>
      </c>
      <c r="I10" s="127">
        <v>186.5</v>
      </c>
      <c r="J10" s="128">
        <f t="shared" si="0"/>
        <v>4103</v>
      </c>
      <c r="K10" s="128">
        <f t="shared" si="1"/>
        <v>4841.54</v>
      </c>
    </row>
    <row r="11" spans="1:11" s="129" customFormat="1" x14ac:dyDescent="0.3">
      <c r="A11" s="124" t="s">
        <v>592</v>
      </c>
      <c r="B11" s="124" t="s">
        <v>530</v>
      </c>
      <c r="C11" s="124" t="s">
        <v>506</v>
      </c>
      <c r="D11" s="124" t="s">
        <v>618</v>
      </c>
      <c r="E11" s="125">
        <v>45</v>
      </c>
      <c r="F11" s="125" t="s">
        <v>509</v>
      </c>
      <c r="G11" s="126">
        <v>43153</v>
      </c>
      <c r="H11" s="127">
        <v>32</v>
      </c>
      <c r="I11" s="127">
        <v>186.5</v>
      </c>
      <c r="J11" s="128">
        <f t="shared" si="0"/>
        <v>5968</v>
      </c>
      <c r="K11" s="128">
        <f t="shared" si="1"/>
        <v>7042.24</v>
      </c>
    </row>
    <row r="12" spans="1:11" s="129" customFormat="1" x14ac:dyDescent="0.3">
      <c r="A12" s="124" t="s">
        <v>594</v>
      </c>
      <c r="B12" s="124" t="s">
        <v>530</v>
      </c>
      <c r="C12" s="124" t="s">
        <v>506</v>
      </c>
      <c r="D12" s="124" t="s">
        <v>628</v>
      </c>
      <c r="E12" s="125">
        <v>45</v>
      </c>
      <c r="F12" s="125" t="s">
        <v>509</v>
      </c>
      <c r="G12" s="126">
        <v>43162</v>
      </c>
      <c r="H12" s="127">
        <v>37</v>
      </c>
      <c r="I12" s="127">
        <v>186.5</v>
      </c>
      <c r="J12" s="128">
        <f t="shared" si="0"/>
        <v>6900.5</v>
      </c>
      <c r="K12" s="128">
        <f t="shared" si="1"/>
        <v>8142.5899999999992</v>
      </c>
    </row>
    <row r="13" spans="1:11" s="129" customFormat="1" x14ac:dyDescent="0.3">
      <c r="A13" s="124" t="s">
        <v>617</v>
      </c>
      <c r="B13" s="124" t="s">
        <v>530</v>
      </c>
      <c r="C13" s="124" t="s">
        <v>506</v>
      </c>
      <c r="D13" s="124" t="s">
        <v>629</v>
      </c>
      <c r="E13" s="125">
        <v>45</v>
      </c>
      <c r="F13" s="125" t="s">
        <v>509</v>
      </c>
      <c r="G13" s="126">
        <v>43163</v>
      </c>
      <c r="H13" s="127">
        <v>31</v>
      </c>
      <c r="I13" s="127">
        <v>186.5</v>
      </c>
      <c r="J13" s="128">
        <f t="shared" si="0"/>
        <v>5781.5</v>
      </c>
      <c r="K13" s="128">
        <f t="shared" si="1"/>
        <v>6822.17</v>
      </c>
    </row>
    <row r="14" spans="1:11" s="129" customFormat="1" x14ac:dyDescent="0.3">
      <c r="A14" s="124" t="s">
        <v>630</v>
      </c>
      <c r="B14" s="124" t="s">
        <v>530</v>
      </c>
      <c r="C14" s="124" t="s">
        <v>506</v>
      </c>
      <c r="D14" s="124" t="s">
        <v>631</v>
      </c>
      <c r="E14" s="125">
        <v>45</v>
      </c>
      <c r="F14" s="125" t="s">
        <v>509</v>
      </c>
      <c r="G14" s="126">
        <v>43165</v>
      </c>
      <c r="H14" s="127">
        <v>30</v>
      </c>
      <c r="I14" s="127">
        <v>186.5</v>
      </c>
      <c r="J14" s="128">
        <f t="shared" si="0"/>
        <v>5595</v>
      </c>
      <c r="K14" s="128">
        <f t="shared" si="1"/>
        <v>6602.0999999999995</v>
      </c>
    </row>
    <row r="15" spans="1:11" s="129" customFormat="1" x14ac:dyDescent="0.3">
      <c r="A15" s="124" t="s">
        <v>634</v>
      </c>
      <c r="B15" s="124" t="s">
        <v>530</v>
      </c>
      <c r="C15" s="124" t="s">
        <v>506</v>
      </c>
      <c r="D15" s="124" t="s">
        <v>636</v>
      </c>
      <c r="E15" s="125">
        <v>45</v>
      </c>
      <c r="F15" s="125" t="s">
        <v>509</v>
      </c>
      <c r="G15" s="126">
        <v>43165</v>
      </c>
      <c r="H15" s="127">
        <v>32</v>
      </c>
      <c r="I15" s="127">
        <v>186.5</v>
      </c>
      <c r="J15" s="128">
        <f t="shared" si="0"/>
        <v>5968</v>
      </c>
      <c r="K15" s="128">
        <f t="shared" si="1"/>
        <v>7042.24</v>
      </c>
    </row>
    <row r="16" spans="1:11" s="129" customFormat="1" x14ac:dyDescent="0.3">
      <c r="A16" s="124" t="s">
        <v>635</v>
      </c>
      <c r="B16" s="124" t="s">
        <v>530</v>
      </c>
      <c r="C16" s="124" t="s">
        <v>506</v>
      </c>
      <c r="D16" s="124" t="s">
        <v>632</v>
      </c>
      <c r="E16" s="125">
        <v>45</v>
      </c>
      <c r="F16" s="125" t="s">
        <v>509</v>
      </c>
      <c r="G16" s="126">
        <v>43170</v>
      </c>
      <c r="H16" s="127">
        <v>31</v>
      </c>
      <c r="I16" s="127">
        <v>186.5</v>
      </c>
      <c r="J16" s="128">
        <f t="shared" si="0"/>
        <v>5781.5</v>
      </c>
      <c r="K16" s="128">
        <f t="shared" si="1"/>
        <v>6822.17</v>
      </c>
    </row>
    <row r="17" spans="1:11" s="129" customFormat="1" x14ac:dyDescent="0.3">
      <c r="A17" s="124" t="s">
        <v>537</v>
      </c>
      <c r="B17" s="124" t="s">
        <v>502</v>
      </c>
      <c r="C17" s="124" t="s">
        <v>507</v>
      </c>
      <c r="D17" s="124" t="s">
        <v>623</v>
      </c>
      <c r="E17" s="125">
        <v>30</v>
      </c>
      <c r="F17" s="125" t="s">
        <v>509</v>
      </c>
      <c r="G17" s="126">
        <v>43122</v>
      </c>
      <c r="H17" s="127">
        <v>30</v>
      </c>
      <c r="I17" s="127">
        <v>725</v>
      </c>
      <c r="J17" s="128">
        <f t="shared" si="0"/>
        <v>21750</v>
      </c>
      <c r="K17" s="128">
        <f>+J17*1.18</f>
        <v>25665</v>
      </c>
    </row>
    <row r="18" spans="1:11" s="129" customFormat="1" x14ac:dyDescent="0.3">
      <c r="A18" s="124" t="s">
        <v>538</v>
      </c>
      <c r="B18" s="124" t="s">
        <v>502</v>
      </c>
      <c r="C18" s="124" t="s">
        <v>507</v>
      </c>
      <c r="D18" s="124" t="s">
        <v>624</v>
      </c>
      <c r="E18" s="125">
        <v>30</v>
      </c>
      <c r="F18" s="125" t="s">
        <v>509</v>
      </c>
      <c r="G18" s="126">
        <v>43132</v>
      </c>
      <c r="H18" s="127">
        <v>30</v>
      </c>
      <c r="I18" s="127">
        <v>725</v>
      </c>
      <c r="J18" s="128">
        <f t="shared" si="0"/>
        <v>21750</v>
      </c>
      <c r="K18" s="128">
        <f>+J18*1.18</f>
        <v>25665</v>
      </c>
    </row>
    <row r="19" spans="1:11" s="129" customFormat="1" x14ac:dyDescent="0.3">
      <c r="A19" s="124" t="s">
        <v>539</v>
      </c>
      <c r="B19" s="124" t="s">
        <v>502</v>
      </c>
      <c r="C19" s="124" t="s">
        <v>507</v>
      </c>
      <c r="D19" s="124" t="s">
        <v>625</v>
      </c>
      <c r="E19" s="125">
        <v>30</v>
      </c>
      <c r="F19" s="125" t="s">
        <v>509</v>
      </c>
      <c r="G19" s="126">
        <v>43135</v>
      </c>
      <c r="H19" s="127">
        <v>30</v>
      </c>
      <c r="I19" s="127">
        <v>725</v>
      </c>
      <c r="J19" s="128">
        <f t="shared" si="0"/>
        <v>21750</v>
      </c>
      <c r="K19" s="128">
        <f>+J19*1.18</f>
        <v>25665</v>
      </c>
    </row>
    <row r="20" spans="1:11" s="129" customFormat="1" x14ac:dyDescent="0.3">
      <c r="A20" s="124" t="s">
        <v>500</v>
      </c>
      <c r="B20" s="124" t="s">
        <v>503</v>
      </c>
      <c r="C20" s="124" t="s">
        <v>508</v>
      </c>
      <c r="D20" s="124" t="s">
        <v>626</v>
      </c>
      <c r="E20" s="125">
        <v>30</v>
      </c>
      <c r="F20" s="125" t="s">
        <v>509</v>
      </c>
      <c r="G20" s="126">
        <v>43140</v>
      </c>
      <c r="H20" s="127">
        <v>6</v>
      </c>
      <c r="I20" s="127">
        <v>280</v>
      </c>
      <c r="J20" s="128">
        <f t="shared" si="0"/>
        <v>1680</v>
      </c>
      <c r="K20" s="128">
        <f>+J20</f>
        <v>1680</v>
      </c>
    </row>
    <row r="21" spans="1:11" s="129" customFormat="1" x14ac:dyDescent="0.3">
      <c r="A21" s="124" t="s">
        <v>619</v>
      </c>
      <c r="B21" s="124" t="s">
        <v>503</v>
      </c>
      <c r="C21" s="124" t="s">
        <v>508</v>
      </c>
      <c r="D21" s="124" t="s">
        <v>620</v>
      </c>
      <c r="E21" s="125">
        <v>30</v>
      </c>
      <c r="F21" s="125" t="s">
        <v>509</v>
      </c>
      <c r="G21" s="126">
        <v>43132</v>
      </c>
      <c r="H21" s="127">
        <v>26</v>
      </c>
      <c r="I21" s="127">
        <v>280</v>
      </c>
      <c r="J21" s="128">
        <f t="shared" si="0"/>
        <v>7280</v>
      </c>
      <c r="K21" s="128">
        <f>+J21</f>
        <v>7280</v>
      </c>
    </row>
    <row r="22" spans="1:11" s="129" customFormat="1" x14ac:dyDescent="0.3">
      <c r="A22" s="124" t="s">
        <v>637</v>
      </c>
      <c r="B22" s="124" t="s">
        <v>503</v>
      </c>
      <c r="C22" s="124" t="s">
        <v>508</v>
      </c>
      <c r="D22" s="124" t="s">
        <v>639</v>
      </c>
      <c r="E22" s="125">
        <v>30</v>
      </c>
      <c r="F22" s="125" t="s">
        <v>509</v>
      </c>
      <c r="G22" s="126">
        <v>43140</v>
      </c>
      <c r="H22" s="127">
        <v>28</v>
      </c>
      <c r="I22" s="127">
        <v>280</v>
      </c>
      <c r="J22" s="128">
        <f>+H22*I22</f>
        <v>7840</v>
      </c>
      <c r="K22" s="128">
        <f>+J22</f>
        <v>7840</v>
      </c>
    </row>
    <row r="23" spans="1:11" s="129" customFormat="1" x14ac:dyDescent="0.3">
      <c r="A23" s="124" t="s">
        <v>638</v>
      </c>
      <c r="B23" s="124" t="s">
        <v>503</v>
      </c>
      <c r="C23" s="124" t="s">
        <v>508</v>
      </c>
      <c r="D23" s="124" t="s">
        <v>640</v>
      </c>
      <c r="E23" s="125">
        <v>30</v>
      </c>
      <c r="F23" s="125" t="s">
        <v>509</v>
      </c>
      <c r="G23" s="126">
        <v>43140</v>
      </c>
      <c r="H23" s="127">
        <v>4</v>
      </c>
      <c r="I23" s="127">
        <v>280</v>
      </c>
      <c r="J23" s="128">
        <f>+H23*I23</f>
        <v>1120</v>
      </c>
      <c r="K23" s="128">
        <f>+J23</f>
        <v>1120</v>
      </c>
    </row>
    <row r="24" spans="1:11" s="129" customFormat="1" x14ac:dyDescent="0.3">
      <c r="A24" s="124" t="s">
        <v>529</v>
      </c>
      <c r="B24" s="124" t="s">
        <v>505</v>
      </c>
      <c r="C24" s="124" t="s">
        <v>247</v>
      </c>
      <c r="D24" s="124" t="s">
        <v>615</v>
      </c>
      <c r="E24" s="125">
        <v>15</v>
      </c>
      <c r="F24" s="125" t="s">
        <v>509</v>
      </c>
      <c r="G24" s="126">
        <v>43121</v>
      </c>
      <c r="H24" s="127">
        <v>3</v>
      </c>
      <c r="I24" s="127">
        <v>340</v>
      </c>
      <c r="J24" s="128">
        <f t="shared" ref="J24:J30" si="2">+H24*I24</f>
        <v>1020</v>
      </c>
      <c r="K24" s="128">
        <f t="shared" ref="K24:K30" si="3">+J24*1.18</f>
        <v>1203.5999999999999</v>
      </c>
    </row>
    <row r="25" spans="1:11" s="129" customFormat="1" x14ac:dyDescent="0.3">
      <c r="A25" s="124" t="s">
        <v>613</v>
      </c>
      <c r="B25" s="124" t="s">
        <v>505</v>
      </c>
      <c r="C25" s="124" t="s">
        <v>247</v>
      </c>
      <c r="D25" s="124" t="s">
        <v>616</v>
      </c>
      <c r="E25" s="125">
        <v>15</v>
      </c>
      <c r="F25" s="125" t="s">
        <v>509</v>
      </c>
      <c r="G25" s="126">
        <v>43128</v>
      </c>
      <c r="H25" s="127">
        <v>5</v>
      </c>
      <c r="I25" s="127">
        <v>340</v>
      </c>
      <c r="J25" s="128">
        <f t="shared" si="2"/>
        <v>1700</v>
      </c>
      <c r="K25" s="128">
        <f t="shared" si="3"/>
        <v>2006</v>
      </c>
    </row>
    <row r="26" spans="1:11" s="129" customFormat="1" x14ac:dyDescent="0.3">
      <c r="A26" s="124" t="s">
        <v>614</v>
      </c>
      <c r="B26" s="124" t="s">
        <v>505</v>
      </c>
      <c r="C26" s="124" t="s">
        <v>247</v>
      </c>
      <c r="D26" s="124" t="s">
        <v>641</v>
      </c>
      <c r="E26" s="125">
        <v>15</v>
      </c>
      <c r="F26" s="125" t="s">
        <v>509</v>
      </c>
      <c r="G26" s="126">
        <v>43132</v>
      </c>
      <c r="H26" s="127">
        <v>0.15</v>
      </c>
      <c r="I26" s="127">
        <v>340</v>
      </c>
      <c r="J26" s="128">
        <f t="shared" si="2"/>
        <v>51</v>
      </c>
      <c r="K26" s="128">
        <f t="shared" si="3"/>
        <v>60.18</v>
      </c>
    </row>
    <row r="27" spans="1:11" s="129" customFormat="1" x14ac:dyDescent="0.3">
      <c r="A27" s="124" t="s">
        <v>547</v>
      </c>
      <c r="B27" s="124" t="s">
        <v>549</v>
      </c>
      <c r="C27" s="124" t="s">
        <v>550</v>
      </c>
      <c r="D27" s="124" t="s">
        <v>621</v>
      </c>
      <c r="E27" s="125">
        <v>30</v>
      </c>
      <c r="F27" s="125" t="s">
        <v>509</v>
      </c>
      <c r="G27" s="126">
        <v>43132</v>
      </c>
      <c r="H27" s="127">
        <v>30</v>
      </c>
      <c r="I27" s="127">
        <v>660</v>
      </c>
      <c r="J27" s="128">
        <f t="shared" si="2"/>
        <v>19800</v>
      </c>
      <c r="K27" s="128">
        <f t="shared" si="3"/>
        <v>23364</v>
      </c>
    </row>
    <row r="28" spans="1:11" s="129" customFormat="1" x14ac:dyDescent="0.3">
      <c r="A28" s="124" t="s">
        <v>548</v>
      </c>
      <c r="B28" s="124" t="s">
        <v>504</v>
      </c>
      <c r="C28" s="124" t="s">
        <v>551</v>
      </c>
      <c r="D28" s="124" t="s">
        <v>598</v>
      </c>
      <c r="E28" s="125">
        <v>40</v>
      </c>
      <c r="F28" s="125" t="s">
        <v>509</v>
      </c>
      <c r="G28" s="126">
        <v>43133</v>
      </c>
      <c r="H28" s="127">
        <v>30</v>
      </c>
      <c r="I28" s="127">
        <v>1960</v>
      </c>
      <c r="J28" s="128">
        <f t="shared" si="2"/>
        <v>58800</v>
      </c>
      <c r="K28" s="128">
        <f t="shared" si="3"/>
        <v>69384</v>
      </c>
    </row>
    <row r="29" spans="1:11" s="129" customFormat="1" x14ac:dyDescent="0.3">
      <c r="A29" s="124" t="s">
        <v>601</v>
      </c>
      <c r="B29" s="124" t="s">
        <v>588</v>
      </c>
      <c r="C29" s="124" t="s">
        <v>589</v>
      </c>
      <c r="D29" s="124" t="s">
        <v>622</v>
      </c>
      <c r="E29" s="125">
        <v>30</v>
      </c>
      <c r="F29" s="125" t="s">
        <v>509</v>
      </c>
      <c r="G29" s="126">
        <f>+K29+E29</f>
        <v>20916</v>
      </c>
      <c r="H29" s="127">
        <v>30</v>
      </c>
      <c r="I29" s="127">
        <v>590</v>
      </c>
      <c r="J29" s="128">
        <f t="shared" si="2"/>
        <v>17700</v>
      </c>
      <c r="K29" s="128">
        <f t="shared" si="3"/>
        <v>20886</v>
      </c>
    </row>
    <row r="30" spans="1:11" s="129" customFormat="1" x14ac:dyDescent="0.3">
      <c r="A30" s="124" t="s">
        <v>602</v>
      </c>
      <c r="B30" s="124" t="s">
        <v>600</v>
      </c>
      <c r="C30" s="124" t="s">
        <v>599</v>
      </c>
      <c r="D30" s="124" t="s">
        <v>603</v>
      </c>
      <c r="E30" s="125">
        <v>15</v>
      </c>
      <c r="F30" s="125" t="s">
        <v>509</v>
      </c>
      <c r="G30" s="126">
        <v>43124</v>
      </c>
      <c r="H30" s="127">
        <v>34</v>
      </c>
      <c r="I30" s="127">
        <v>290</v>
      </c>
      <c r="J30" s="128">
        <f t="shared" si="2"/>
        <v>9860</v>
      </c>
      <c r="K30" s="128">
        <f t="shared" si="3"/>
        <v>11634.8</v>
      </c>
    </row>
    <row r="31" spans="1:11" s="129" customFormat="1" x14ac:dyDescent="0.3">
      <c r="A31" s="124" t="s">
        <v>649</v>
      </c>
      <c r="B31" s="124" t="s">
        <v>653</v>
      </c>
      <c r="C31" s="124" t="s">
        <v>652</v>
      </c>
      <c r="D31" s="124"/>
      <c r="E31" s="125" t="s">
        <v>5</v>
      </c>
      <c r="F31" s="125"/>
      <c r="G31" s="126">
        <v>43132</v>
      </c>
      <c r="H31" s="127">
        <v>30</v>
      </c>
      <c r="I31" s="127">
        <v>879</v>
      </c>
      <c r="J31" s="128">
        <f>+H31*I31</f>
        <v>26370</v>
      </c>
      <c r="K31" s="128"/>
    </row>
    <row r="32" spans="1:11" s="129" customFormat="1" x14ac:dyDescent="0.3">
      <c r="A32" s="124" t="s">
        <v>650</v>
      </c>
      <c r="B32" s="124" t="s">
        <v>653</v>
      </c>
      <c r="C32" s="124" t="s">
        <v>652</v>
      </c>
      <c r="D32" s="124"/>
      <c r="E32" s="125" t="s">
        <v>5</v>
      </c>
      <c r="F32" s="125"/>
      <c r="G32" s="126">
        <v>43132</v>
      </c>
      <c r="H32" s="127">
        <v>70</v>
      </c>
      <c r="I32" s="127">
        <v>874</v>
      </c>
      <c r="J32" s="128">
        <f>+H32*I32</f>
        <v>61180</v>
      </c>
      <c r="K32" s="128"/>
    </row>
    <row r="33" spans="1:11" s="129" customFormat="1" x14ac:dyDescent="0.3">
      <c r="A33" s="124" t="s">
        <v>649</v>
      </c>
      <c r="B33" s="124" t="s">
        <v>653</v>
      </c>
      <c r="C33" s="124" t="s">
        <v>652</v>
      </c>
      <c r="D33" s="124"/>
      <c r="E33" s="125" t="s">
        <v>5</v>
      </c>
      <c r="F33" s="125"/>
      <c r="G33" s="126">
        <v>43132</v>
      </c>
      <c r="H33" s="127">
        <v>70</v>
      </c>
      <c r="I33" s="127">
        <v>879</v>
      </c>
      <c r="J33" s="128">
        <v>61530</v>
      </c>
      <c r="K33" s="128"/>
    </row>
    <row r="34" spans="1:11" s="129" customFormat="1" x14ac:dyDescent="0.3">
      <c r="A34" s="124" t="s">
        <v>650</v>
      </c>
      <c r="B34" s="124" t="s">
        <v>653</v>
      </c>
      <c r="C34" s="124" t="s">
        <v>652</v>
      </c>
      <c r="D34" s="124"/>
      <c r="E34" s="125" t="s">
        <v>5</v>
      </c>
      <c r="F34" s="125"/>
      <c r="G34" s="126">
        <v>43132</v>
      </c>
      <c r="H34" s="127">
        <v>70</v>
      </c>
      <c r="I34" s="127">
        <v>874</v>
      </c>
      <c r="J34" s="128">
        <v>61180</v>
      </c>
      <c r="K34" s="128"/>
    </row>
    <row r="35" spans="1:11" s="129" customFormat="1" x14ac:dyDescent="0.3">
      <c r="A35" s="124" t="s">
        <v>651</v>
      </c>
      <c r="B35" s="124" t="s">
        <v>653</v>
      </c>
      <c r="C35" s="124" t="s">
        <v>652</v>
      </c>
      <c r="D35" s="124"/>
      <c r="E35" s="125" t="s">
        <v>5</v>
      </c>
      <c r="F35" s="125"/>
      <c r="G35" s="126">
        <v>43132</v>
      </c>
      <c r="H35" s="127">
        <v>30</v>
      </c>
      <c r="I35" s="127">
        <v>885</v>
      </c>
      <c r="J35" s="128">
        <v>26550</v>
      </c>
      <c r="K35" s="128"/>
    </row>
  </sheetData>
  <conditionalFormatting sqref="G2">
    <cfRule type="cellIs" dxfId="1686" priority="42" operator="between">
      <formula>+TODAY()</formula>
      <formula>+HOY+10</formula>
    </cfRule>
  </conditionalFormatting>
  <conditionalFormatting sqref="G3:G7">
    <cfRule type="cellIs" dxfId="1685" priority="40" operator="between">
      <formula>+TODAY()</formula>
      <formula>+HOY+10</formula>
    </cfRule>
  </conditionalFormatting>
  <conditionalFormatting sqref="G8">
    <cfRule type="cellIs" dxfId="1684" priority="38" operator="between">
      <formula>+TODAY()</formula>
      <formula>+HOY+10</formula>
    </cfRule>
  </conditionalFormatting>
  <conditionalFormatting sqref="G10:G14 G16">
    <cfRule type="cellIs" dxfId="1683" priority="34" operator="between">
      <formula>+TODAY()</formula>
      <formula>+HOY+10</formula>
    </cfRule>
  </conditionalFormatting>
  <conditionalFormatting sqref="G9">
    <cfRule type="cellIs" dxfId="1682" priority="36" operator="between">
      <formula>+TODAY()</formula>
      <formula>+HOY+10</formula>
    </cfRule>
  </conditionalFormatting>
  <conditionalFormatting sqref="G15">
    <cfRule type="cellIs" dxfId="1681" priority="30" operator="between">
      <formula>+TODAY()</formula>
      <formula>+HOY+10</formula>
    </cfRule>
  </conditionalFormatting>
  <conditionalFormatting sqref="G17:G19">
    <cfRule type="cellIs" dxfId="1680" priority="26" operator="between">
      <formula>+TODAY()</formula>
      <formula>+HOY+10</formula>
    </cfRule>
  </conditionalFormatting>
  <conditionalFormatting sqref="G30">
    <cfRule type="cellIs" dxfId="1679" priority="5" operator="between">
      <formula>+TODAY()</formula>
      <formula>+HOY+10</formula>
    </cfRule>
  </conditionalFormatting>
  <conditionalFormatting sqref="G20:G22">
    <cfRule type="cellIs" dxfId="1678" priority="19" operator="between">
      <formula>+TODAY()</formula>
      <formula>+HOY+10</formula>
    </cfRule>
  </conditionalFormatting>
  <conditionalFormatting sqref="G23">
    <cfRule type="cellIs" dxfId="1677" priority="18" operator="between">
      <formula>+TODAY()</formula>
      <formula>+HOY+10</formula>
    </cfRule>
  </conditionalFormatting>
  <conditionalFormatting sqref="G24:G26">
    <cfRule type="cellIs" dxfId="1676" priority="15" operator="between">
      <formula>+TODAY()</formula>
      <formula>+HOY+10</formula>
    </cfRule>
  </conditionalFormatting>
  <conditionalFormatting sqref="G27">
    <cfRule type="cellIs" dxfId="1675" priority="13" operator="between">
      <formula>+TODAY()</formula>
      <formula>+HOY+10</formula>
    </cfRule>
  </conditionalFormatting>
  <conditionalFormatting sqref="G28">
    <cfRule type="cellIs" dxfId="1674" priority="11" operator="between">
      <formula>+TODAY()</formula>
      <formula>+HOY+10</formula>
    </cfRule>
  </conditionalFormatting>
  <conditionalFormatting sqref="G29">
    <cfRule type="cellIs" dxfId="1673" priority="8" operator="between">
      <formula>+TODAY()</formula>
      <formula>+HOY+10</formula>
    </cfRule>
  </conditionalFormatting>
  <conditionalFormatting sqref="G31:G32">
    <cfRule type="cellIs" dxfId="1672" priority="2" operator="between">
      <formula>+TODAY()</formula>
      <formula>+HOY+10</formula>
    </cfRule>
  </conditionalFormatting>
  <conditionalFormatting sqref="G33:G35">
    <cfRule type="cellIs" dxfId="1671" priority="1" operator="between">
      <formula>+TODAY()</formula>
      <formula>+HOY+10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B33" sqref="B33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48" t="s">
        <v>679</v>
      </c>
      <c r="B3" s="1" t="s">
        <v>6</v>
      </c>
      <c r="C3" s="107" t="s">
        <v>246</v>
      </c>
      <c r="D3" s="109">
        <v>3300003534</v>
      </c>
      <c r="E3" s="5">
        <v>90</v>
      </c>
      <c r="F3" s="6" t="s">
        <v>20</v>
      </c>
      <c r="G3" s="7">
        <v>43298</v>
      </c>
      <c r="H3" s="9">
        <v>351</v>
      </c>
      <c r="I3" s="8">
        <v>537</v>
      </c>
      <c r="J3" s="8">
        <v>188487</v>
      </c>
      <c r="K3" s="106">
        <v>43234</v>
      </c>
      <c r="L3" s="10" t="s">
        <v>110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83</v>
      </c>
      <c r="C6" s="37"/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17"/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84</v>
      </c>
      <c r="C8" s="44"/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85</v>
      </c>
      <c r="C9" s="44"/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56" t="s">
        <v>461</v>
      </c>
      <c r="C10" s="17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84</v>
      </c>
      <c r="C11" s="44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165</v>
      </c>
      <c r="C12" s="44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84</v>
      </c>
      <c r="C13" s="44"/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x14ac:dyDescent="0.3">
      <c r="A16" s="48" t="s">
        <v>758</v>
      </c>
      <c r="B16" s="1" t="s">
        <v>289</v>
      </c>
      <c r="C16" s="107" t="s">
        <v>15</v>
      </c>
      <c r="D16" s="109" t="s">
        <v>759</v>
      </c>
      <c r="E16" s="5" t="s">
        <v>5</v>
      </c>
      <c r="F16" s="6"/>
      <c r="G16" s="7">
        <v>43298</v>
      </c>
      <c r="H16" s="9">
        <v>2800</v>
      </c>
      <c r="I16" s="8">
        <v>442</v>
      </c>
      <c r="J16" s="8">
        <v>1237600</v>
      </c>
      <c r="K16" s="106"/>
      <c r="L16" s="10" t="s">
        <v>110</v>
      </c>
    </row>
    <row r="17" spans="1:12" ht="15" x14ac:dyDescent="0.25">
      <c r="A17" s="48" t="s">
        <v>787</v>
      </c>
      <c r="B17" s="1" t="s">
        <v>790</v>
      </c>
      <c r="C17" s="107" t="s">
        <v>15</v>
      </c>
      <c r="D17" s="109"/>
      <c r="E17" s="5" t="s">
        <v>5</v>
      </c>
      <c r="F17" s="6"/>
      <c r="G17" s="7">
        <v>43301</v>
      </c>
      <c r="H17" s="9">
        <v>50</v>
      </c>
      <c r="I17" s="8">
        <v>375</v>
      </c>
      <c r="J17" s="8">
        <v>18750</v>
      </c>
      <c r="K17" s="106"/>
    </row>
    <row r="18" spans="1:12" ht="18.75" x14ac:dyDescent="0.3">
      <c r="A18" s="531" t="s">
        <v>91</v>
      </c>
      <c r="B18" s="532"/>
      <c r="C18" s="13"/>
      <c r="D18" s="72"/>
      <c r="E18" s="13"/>
      <c r="F18" s="13"/>
      <c r="G18" s="13"/>
      <c r="H18" s="13"/>
      <c r="I18" s="13"/>
      <c r="J18" s="13"/>
      <c r="K18" s="14"/>
    </row>
    <row r="19" spans="1:12" x14ac:dyDescent="0.3">
      <c r="A19" s="49"/>
      <c r="B19" s="17" t="s">
        <v>76</v>
      </c>
      <c r="C19" s="37" t="s">
        <v>15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78</v>
      </c>
      <c r="C20" s="37" t="s">
        <v>227</v>
      </c>
      <c r="D20" s="73"/>
      <c r="E20" s="37"/>
      <c r="F20" s="37"/>
      <c r="G20" s="37"/>
      <c r="H20" s="18"/>
      <c r="I20" s="59"/>
      <c r="J20" s="18"/>
      <c r="K20" s="19"/>
    </row>
    <row r="21" spans="1:12" x14ac:dyDescent="0.3">
      <c r="A21" s="49"/>
      <c r="B21" s="56" t="s">
        <v>98</v>
      </c>
      <c r="C21" s="45" t="s">
        <v>761</v>
      </c>
      <c r="D21" s="73"/>
      <c r="E21" s="37"/>
      <c r="F21" s="37"/>
      <c r="G21" s="37"/>
      <c r="H21" s="18"/>
      <c r="I21" s="18"/>
      <c r="J21" s="18"/>
      <c r="K21" s="19"/>
      <c r="L21" s="108"/>
    </row>
    <row r="22" spans="1:12" x14ac:dyDescent="0.3">
      <c r="A22" s="49"/>
      <c r="B22" s="17" t="s">
        <v>81</v>
      </c>
      <c r="C22" s="45">
        <v>8263292948</v>
      </c>
      <c r="D22" s="73"/>
      <c r="E22" s="37"/>
      <c r="F22" s="37"/>
      <c r="G22" s="37"/>
      <c r="H22" s="18"/>
      <c r="I22" s="18"/>
      <c r="J22" s="18"/>
      <c r="K22" s="19"/>
    </row>
    <row r="23" spans="1:12" ht="15" x14ac:dyDescent="0.25">
      <c r="A23" s="49"/>
      <c r="B23" s="17" t="s">
        <v>169</v>
      </c>
      <c r="C23" s="45" t="s">
        <v>762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85</v>
      </c>
      <c r="C24" s="45" t="s">
        <v>171</v>
      </c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56" t="s">
        <v>461</v>
      </c>
      <c r="C25" s="45" t="s">
        <v>763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81</v>
      </c>
      <c r="C26" s="45" t="s">
        <v>174</v>
      </c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85</v>
      </c>
      <c r="C27" s="45" t="s">
        <v>764</v>
      </c>
      <c r="D27" s="73"/>
      <c r="E27" s="37"/>
      <c r="F27" s="37"/>
      <c r="G27" s="37"/>
      <c r="H27" s="18"/>
      <c r="I27" s="18"/>
      <c r="J27" s="18"/>
      <c r="K27" s="19"/>
    </row>
    <row r="28" spans="1:12" ht="15" x14ac:dyDescent="0.25">
      <c r="A28" s="50"/>
      <c r="B28" s="21"/>
      <c r="C28" s="111"/>
      <c r="D28" s="74"/>
      <c r="E28" s="38"/>
      <c r="F28" s="38"/>
      <c r="G28" s="38"/>
      <c r="H28" s="22"/>
      <c r="I28" s="22"/>
      <c r="J28" s="22"/>
      <c r="K28" s="23"/>
      <c r="L28" s="108"/>
    </row>
    <row r="29" spans="1:12" ht="3.75" customHeight="1" x14ac:dyDescent="0.25">
      <c r="A29" s="47"/>
      <c r="B29" s="24"/>
      <c r="C29" s="24"/>
      <c r="D29" s="71"/>
      <c r="E29" s="24"/>
      <c r="F29" s="24"/>
      <c r="G29" s="24"/>
      <c r="H29" s="24"/>
      <c r="I29" s="24"/>
      <c r="J29" s="24"/>
      <c r="K29" s="24"/>
    </row>
    <row r="30" spans="1:12" ht="15" x14ac:dyDescent="0.25">
      <c r="A30" s="48" t="s">
        <v>727</v>
      </c>
      <c r="B30" s="1" t="s">
        <v>359</v>
      </c>
      <c r="C30" s="107" t="s">
        <v>7</v>
      </c>
      <c r="D30" s="106" t="s">
        <v>797</v>
      </c>
      <c r="E30" s="5" t="s">
        <v>5</v>
      </c>
      <c r="F30" s="6"/>
      <c r="G30" s="7">
        <v>43300</v>
      </c>
      <c r="H30" s="9">
        <v>250</v>
      </c>
      <c r="I30" s="8">
        <v>786</v>
      </c>
      <c r="J30" s="8">
        <v>196500</v>
      </c>
      <c r="K30" s="106"/>
      <c r="L30" s="10" t="s">
        <v>110</v>
      </c>
    </row>
    <row r="31" spans="1:12" ht="18.75" x14ac:dyDescent="0.3">
      <c r="A31" s="531" t="s">
        <v>91</v>
      </c>
      <c r="B31" s="532"/>
      <c r="C31" s="13"/>
      <c r="D31" s="72"/>
      <c r="E31" s="13"/>
      <c r="F31" s="13"/>
      <c r="G31" s="13"/>
      <c r="H31" s="13"/>
      <c r="I31" s="13"/>
      <c r="J31" s="13"/>
      <c r="K31" s="14"/>
    </row>
    <row r="32" spans="1:12" x14ac:dyDescent="0.3">
      <c r="A32" s="49"/>
      <c r="B32" s="17" t="s">
        <v>76</v>
      </c>
      <c r="C32" s="37"/>
      <c r="D32" s="73"/>
      <c r="E32" s="37"/>
      <c r="F32" s="37"/>
      <c r="G32" s="37"/>
      <c r="H32" s="18"/>
      <c r="I32" s="18"/>
      <c r="J32" s="18"/>
      <c r="K32" s="19"/>
    </row>
    <row r="33" spans="1:13" x14ac:dyDescent="0.3">
      <c r="A33" s="49"/>
      <c r="B33" s="17" t="s">
        <v>78</v>
      </c>
      <c r="C33" s="37"/>
      <c r="D33" s="73"/>
      <c r="E33" s="37"/>
      <c r="F33" s="37"/>
      <c r="G33" s="37"/>
      <c r="H33" s="18"/>
      <c r="I33" s="59"/>
      <c r="J33" s="18"/>
      <c r="K33" s="19"/>
    </row>
    <row r="34" spans="1:13" x14ac:dyDescent="0.3">
      <c r="A34" s="49"/>
      <c r="B34" s="56" t="s">
        <v>98</v>
      </c>
      <c r="C34" s="45"/>
      <c r="D34" s="73"/>
      <c r="E34" s="37"/>
      <c r="F34" s="37"/>
      <c r="G34" s="37"/>
      <c r="H34" s="18"/>
      <c r="I34" s="18"/>
      <c r="J34" s="18"/>
      <c r="K34" s="19"/>
      <c r="L34" s="108"/>
    </row>
    <row r="35" spans="1:13" x14ac:dyDescent="0.3">
      <c r="A35" s="49"/>
      <c r="B35" s="17" t="s">
        <v>81</v>
      </c>
      <c r="C35" s="45"/>
      <c r="D35" s="73"/>
      <c r="E35" s="37"/>
      <c r="F35" s="37"/>
      <c r="G35" s="37"/>
      <c r="H35" s="18"/>
      <c r="I35" s="18"/>
      <c r="J35" s="18"/>
      <c r="K35" s="19"/>
    </row>
    <row r="36" spans="1:13" x14ac:dyDescent="0.3">
      <c r="A36" s="49"/>
      <c r="B36" s="17" t="s">
        <v>169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3" x14ac:dyDescent="0.3">
      <c r="A37" s="49"/>
      <c r="B37" s="17" t="s">
        <v>85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3" x14ac:dyDescent="0.3">
      <c r="A38" s="49"/>
      <c r="B38" s="56" t="s">
        <v>461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3" x14ac:dyDescent="0.3">
      <c r="A39" s="49"/>
      <c r="B39" s="17" t="s">
        <v>81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3" x14ac:dyDescent="0.3">
      <c r="A40" s="49"/>
      <c r="B40" s="17" t="s">
        <v>85</v>
      </c>
      <c r="C40" s="45"/>
      <c r="D40" s="73"/>
      <c r="E40" s="37"/>
      <c r="F40" s="37"/>
      <c r="G40" s="37"/>
      <c r="H40" s="18"/>
      <c r="I40" s="18"/>
      <c r="J40" s="18"/>
      <c r="K40" s="19"/>
    </row>
    <row r="41" spans="1:13" x14ac:dyDescent="0.3">
      <c r="A41" s="50"/>
      <c r="B41" s="21"/>
      <c r="C41" s="111"/>
      <c r="D41" s="74"/>
      <c r="E41" s="38"/>
      <c r="F41" s="38"/>
      <c r="G41" s="38"/>
      <c r="H41" s="22"/>
      <c r="I41" s="22"/>
      <c r="J41" s="22"/>
      <c r="K41" s="23"/>
      <c r="L41" s="108"/>
    </row>
    <row r="42" spans="1:13" ht="3.75" customHeight="1" x14ac:dyDescent="0.3">
      <c r="A42" s="47"/>
      <c r="B42" s="24"/>
      <c r="C42" s="24"/>
      <c r="D42" s="71"/>
      <c r="E42" s="24"/>
      <c r="F42" s="24"/>
      <c r="G42" s="24"/>
      <c r="H42" s="24"/>
      <c r="I42" s="24"/>
      <c r="J42" s="24"/>
      <c r="K42" s="24"/>
    </row>
    <row r="43" spans="1:13" x14ac:dyDescent="0.3">
      <c r="A43" s="48" t="s">
        <v>767</v>
      </c>
      <c r="B43" s="1" t="s">
        <v>6</v>
      </c>
      <c r="C43" s="107" t="s">
        <v>17</v>
      </c>
      <c r="D43" s="109" t="s">
        <v>773</v>
      </c>
      <c r="E43" s="5" t="s">
        <v>5</v>
      </c>
      <c r="F43" s="6"/>
      <c r="G43" s="7">
        <v>43298</v>
      </c>
      <c r="H43" s="9">
        <v>250</v>
      </c>
      <c r="I43" s="8">
        <v>505</v>
      </c>
      <c r="J43" s="8">
        <v>25250</v>
      </c>
      <c r="K43" s="106"/>
      <c r="L43" s="10" t="s">
        <v>774</v>
      </c>
      <c r="M43" s="10" t="s">
        <v>110</v>
      </c>
    </row>
    <row r="44" spans="1:13" x14ac:dyDescent="0.3">
      <c r="A44" s="48" t="s">
        <v>775</v>
      </c>
      <c r="B44" s="1" t="s">
        <v>6</v>
      </c>
      <c r="C44" s="107" t="s">
        <v>17</v>
      </c>
      <c r="D44" s="109" t="s">
        <v>776</v>
      </c>
      <c r="E44" s="5" t="s">
        <v>5</v>
      </c>
      <c r="F44" s="6"/>
      <c r="G44" s="7">
        <v>43298</v>
      </c>
      <c r="H44" s="9">
        <v>1050</v>
      </c>
      <c r="I44" s="8">
        <v>514</v>
      </c>
      <c r="J44" s="8">
        <v>107940</v>
      </c>
      <c r="K44" s="106"/>
      <c r="L44" s="10" t="s">
        <v>774</v>
      </c>
      <c r="M44" s="10" t="s">
        <v>110</v>
      </c>
    </row>
    <row r="45" spans="1:13" ht="18" x14ac:dyDescent="0.35">
      <c r="A45" s="531" t="s">
        <v>91</v>
      </c>
      <c r="B45" s="532"/>
      <c r="C45" s="13"/>
      <c r="D45" s="72"/>
      <c r="E45" s="13"/>
      <c r="F45" s="13"/>
      <c r="G45" s="13"/>
      <c r="H45" s="13"/>
      <c r="I45" s="13"/>
      <c r="J45" s="13"/>
      <c r="K45" s="14"/>
    </row>
    <row r="46" spans="1:13" x14ac:dyDescent="0.3">
      <c r="A46" s="49"/>
      <c r="B46" s="17" t="s">
        <v>76</v>
      </c>
      <c r="C46" s="37"/>
      <c r="D46" s="73"/>
      <c r="E46" s="37"/>
      <c r="F46" s="37"/>
      <c r="G46" s="37"/>
      <c r="H46" s="18"/>
      <c r="I46" s="18"/>
      <c r="J46" s="18"/>
      <c r="K46" s="19"/>
    </row>
    <row r="47" spans="1:13" x14ac:dyDescent="0.3">
      <c r="A47" s="49"/>
      <c r="B47" s="17" t="s">
        <v>78</v>
      </c>
      <c r="C47" s="37"/>
      <c r="D47" s="73"/>
      <c r="E47" s="37"/>
      <c r="F47" s="37"/>
      <c r="G47" s="37"/>
      <c r="H47" s="18"/>
      <c r="I47" s="59"/>
      <c r="J47" s="18"/>
      <c r="K47" s="19"/>
    </row>
    <row r="48" spans="1:13" x14ac:dyDescent="0.3">
      <c r="A48" s="49"/>
      <c r="B48" s="56" t="s">
        <v>98</v>
      </c>
      <c r="C48" s="45"/>
      <c r="D48" s="73"/>
      <c r="E48" s="37"/>
      <c r="F48" s="37"/>
      <c r="G48" s="37"/>
      <c r="H48" s="18"/>
      <c r="I48" s="18"/>
      <c r="J48" s="18"/>
      <c r="K48" s="19"/>
      <c r="L48" s="108"/>
    </row>
    <row r="49" spans="1:12" x14ac:dyDescent="0.3">
      <c r="A49" s="49"/>
      <c r="B49" s="17" t="s">
        <v>81</v>
      </c>
      <c r="C49" s="45"/>
      <c r="D49" s="73"/>
      <c r="E49" s="37"/>
      <c r="F49" s="37"/>
      <c r="G49" s="37"/>
      <c r="H49" s="18"/>
      <c r="I49" s="18"/>
      <c r="J49" s="18"/>
      <c r="K49" s="19"/>
    </row>
    <row r="50" spans="1:12" x14ac:dyDescent="0.3">
      <c r="A50" s="49"/>
      <c r="B50" s="17" t="s">
        <v>169</v>
      </c>
      <c r="C50" s="45"/>
      <c r="D50" s="73"/>
      <c r="E50" s="37"/>
      <c r="F50" s="37"/>
      <c r="G50" s="37"/>
      <c r="H50" s="18"/>
      <c r="I50" s="18"/>
      <c r="J50" s="18"/>
      <c r="K50" s="19"/>
    </row>
    <row r="51" spans="1:12" x14ac:dyDescent="0.3">
      <c r="A51" s="49"/>
      <c r="B51" s="17" t="s">
        <v>85</v>
      </c>
      <c r="C51" s="45"/>
      <c r="D51" s="73"/>
      <c r="E51" s="37"/>
      <c r="F51" s="37"/>
      <c r="G51" s="37"/>
      <c r="H51" s="18"/>
      <c r="I51" s="18"/>
      <c r="J51" s="18"/>
      <c r="K51" s="19"/>
    </row>
    <row r="52" spans="1:12" x14ac:dyDescent="0.3">
      <c r="A52" s="49"/>
      <c r="B52" s="56" t="s">
        <v>461</v>
      </c>
      <c r="C52" s="45"/>
      <c r="D52" s="73"/>
      <c r="E52" s="37"/>
      <c r="F52" s="37"/>
      <c r="G52" s="37"/>
      <c r="H52" s="18"/>
      <c r="I52" s="18"/>
      <c r="J52" s="18"/>
      <c r="K52" s="19"/>
    </row>
    <row r="53" spans="1:12" x14ac:dyDescent="0.3">
      <c r="A53" s="49"/>
      <c r="B53" s="17" t="s">
        <v>81</v>
      </c>
      <c r="C53" s="45"/>
      <c r="D53" s="73"/>
      <c r="E53" s="37"/>
      <c r="F53" s="37"/>
      <c r="G53" s="37"/>
      <c r="H53" s="18"/>
      <c r="I53" s="18"/>
      <c r="J53" s="18"/>
      <c r="K53" s="19"/>
    </row>
    <row r="54" spans="1:12" x14ac:dyDescent="0.3">
      <c r="A54" s="49"/>
      <c r="B54" s="17" t="s">
        <v>85</v>
      </c>
      <c r="C54" s="45"/>
      <c r="D54" s="73"/>
      <c r="E54" s="37"/>
      <c r="F54" s="37"/>
      <c r="G54" s="37"/>
      <c r="H54" s="18"/>
      <c r="I54" s="18"/>
      <c r="J54" s="18"/>
      <c r="K54" s="19"/>
    </row>
    <row r="55" spans="1:12" x14ac:dyDescent="0.3">
      <c r="A55" s="50"/>
      <c r="B55" s="21"/>
      <c r="C55" s="111"/>
      <c r="D55" s="74"/>
      <c r="E55" s="38"/>
      <c r="F55" s="38"/>
      <c r="G55" s="38"/>
      <c r="H55" s="22"/>
      <c r="I55" s="22"/>
      <c r="J55" s="22"/>
      <c r="K55" s="23"/>
      <c r="L55" s="108"/>
    </row>
  </sheetData>
  <mergeCells count="5">
    <mergeCell ref="L1:P1"/>
    <mergeCell ref="A4:B4"/>
    <mergeCell ref="A18:B18"/>
    <mergeCell ref="A31:B31"/>
    <mergeCell ref="A45:B45"/>
  </mergeCells>
  <conditionalFormatting sqref="G17 G30 G43:G44">
    <cfRule type="cellIs" dxfId="1670" priority="6" operator="between">
      <formula>TODAY()</formula>
      <formula>TODAY()+10</formula>
    </cfRule>
  </conditionalFormatting>
  <conditionalFormatting sqref="G3">
    <cfRule type="cellIs" dxfId="1669" priority="5" operator="between">
      <formula>TODAY()</formula>
      <formula>TODAY()+10</formula>
    </cfRule>
  </conditionalFormatting>
  <conditionalFormatting sqref="G16">
    <cfRule type="cellIs" dxfId="1668" priority="4" operator="between">
      <formula>TODAY()</formula>
      <formula>TODAY()+10</formula>
    </cfRule>
  </conditionalFormatting>
  <dataValidations count="4">
    <dataValidation type="list" allowBlank="1" showInputMessage="1" showErrorMessage="1" sqref="B16 B43:B44">
      <formula1>MATERIALES</formula1>
    </dataValidation>
    <dataValidation type="list" allowBlank="1" showInputMessage="1" showErrorMessage="1" sqref="C14 C28 C16 C41 C55 C43:C44">
      <formula1>PROVEEDORES</formula1>
    </dataValidation>
    <dataValidation type="list" allowBlank="1" showInputMessage="1" showErrorMessage="1" sqref="E28 E4:E14 E16 E41 E55 E43:E44">
      <formula1>PLAZOdePAGO</formula1>
    </dataValidation>
    <dataValidation type="list" allowBlank="1" showInputMessage="1" showErrorMessage="1" sqref="F28 F4:F14 F16 F41 F55 F43:F44">
      <formula1>PLAZOdePAGO2</formula1>
    </dataValidation>
  </dataValidations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showGridLines="0" workbookViewId="0">
      <selection activeCell="M18" sqref="M18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728</v>
      </c>
      <c r="B3" s="1" t="s">
        <v>359</v>
      </c>
      <c r="C3" s="107" t="s">
        <v>7</v>
      </c>
      <c r="D3" s="106" t="s">
        <v>798</v>
      </c>
      <c r="E3" s="5" t="s">
        <v>5</v>
      </c>
      <c r="F3" s="6"/>
      <c r="G3" s="7">
        <v>43307</v>
      </c>
      <c r="H3" s="9">
        <v>265</v>
      </c>
      <c r="I3" s="8">
        <v>791</v>
      </c>
      <c r="J3" s="8">
        <f>+I3*H3</f>
        <v>209615</v>
      </c>
      <c r="K3" s="106"/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6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5" x14ac:dyDescent="0.25">
      <c r="A16" s="48" t="s">
        <v>765</v>
      </c>
      <c r="B16" s="1" t="s">
        <v>6</v>
      </c>
      <c r="C16" s="107" t="s">
        <v>17</v>
      </c>
      <c r="D16" s="109">
        <v>18070014</v>
      </c>
      <c r="E16" s="5" t="s">
        <v>5</v>
      </c>
      <c r="F16" s="6"/>
      <c r="G16" s="7">
        <v>43306</v>
      </c>
      <c r="H16" s="9">
        <v>250</v>
      </c>
      <c r="I16" s="8">
        <v>505</v>
      </c>
      <c r="J16" s="8">
        <f>+I16*H16*0.8</f>
        <v>101000</v>
      </c>
      <c r="K16" s="106"/>
      <c r="L16" s="10" t="s">
        <v>777</v>
      </c>
    </row>
    <row r="17" spans="1:12" ht="15" x14ac:dyDescent="0.25">
      <c r="A17" s="48" t="s">
        <v>766</v>
      </c>
      <c r="B17" s="1" t="s">
        <v>6</v>
      </c>
      <c r="C17" s="107" t="s">
        <v>17</v>
      </c>
      <c r="D17" s="109">
        <v>18070019</v>
      </c>
      <c r="E17" s="5" t="s">
        <v>5</v>
      </c>
      <c r="F17" s="6"/>
      <c r="G17" s="7">
        <v>43306</v>
      </c>
      <c r="H17" s="9">
        <v>250</v>
      </c>
      <c r="I17" s="8">
        <v>514</v>
      </c>
      <c r="J17" s="8">
        <f>+I17*H17*0.8</f>
        <v>102800</v>
      </c>
      <c r="K17" s="106"/>
      <c r="L17" s="10" t="s">
        <v>777</v>
      </c>
    </row>
    <row r="18" spans="1:12" ht="18.75" x14ac:dyDescent="0.3">
      <c r="A18" s="531" t="s">
        <v>91</v>
      </c>
      <c r="B18" s="532"/>
      <c r="C18" s="13"/>
      <c r="D18" s="72"/>
      <c r="E18" s="13"/>
      <c r="F18" s="13"/>
      <c r="G18" s="13"/>
      <c r="H18" s="13"/>
      <c r="I18" s="13"/>
      <c r="J18" s="13"/>
      <c r="K18" s="14"/>
    </row>
    <row r="19" spans="1:12" x14ac:dyDescent="0.3">
      <c r="A19" s="49"/>
      <c r="B19" s="17" t="s">
        <v>76</v>
      </c>
      <c r="C19" s="37"/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78</v>
      </c>
      <c r="C20" s="37"/>
      <c r="D20" s="73"/>
      <c r="E20" s="37"/>
      <c r="F20" s="37"/>
      <c r="G20" s="37"/>
      <c r="H20" s="18"/>
      <c r="I20" s="59"/>
      <c r="J20" s="18"/>
      <c r="K20" s="19"/>
    </row>
    <row r="21" spans="1:12" x14ac:dyDescent="0.3">
      <c r="A21" s="49"/>
      <c r="B21" s="56" t="s">
        <v>98</v>
      </c>
      <c r="C21" s="45"/>
      <c r="D21" s="73"/>
      <c r="E21" s="37"/>
      <c r="F21" s="37"/>
      <c r="G21" s="37"/>
      <c r="H21" s="18"/>
      <c r="I21" s="18"/>
      <c r="J21" s="18"/>
      <c r="K21" s="19"/>
      <c r="L21" s="108"/>
    </row>
    <row r="22" spans="1:12" x14ac:dyDescent="0.3">
      <c r="A22" s="49"/>
      <c r="B22" s="17" t="s">
        <v>81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ht="15" x14ac:dyDescent="0.25">
      <c r="A23" s="49"/>
      <c r="B23" s="17" t="s">
        <v>169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85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56" t="s">
        <v>461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81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85</v>
      </c>
      <c r="C27" s="45"/>
      <c r="D27" s="73"/>
      <c r="E27" s="37"/>
      <c r="F27" s="37"/>
      <c r="G27" s="37"/>
      <c r="H27" s="18"/>
      <c r="I27" s="18"/>
      <c r="J27" s="18"/>
      <c r="K27" s="19"/>
    </row>
    <row r="28" spans="1:12" ht="15" x14ac:dyDescent="0.25">
      <c r="A28" s="50"/>
      <c r="B28" s="21"/>
      <c r="C28" s="111"/>
      <c r="D28" s="74"/>
      <c r="E28" s="38"/>
      <c r="F28" s="38"/>
      <c r="G28" s="38"/>
      <c r="H28" s="22"/>
      <c r="I28" s="22"/>
      <c r="J28" s="22"/>
      <c r="K28" s="23"/>
      <c r="L28" s="108"/>
    </row>
  </sheetData>
  <mergeCells count="3">
    <mergeCell ref="L1:P1"/>
    <mergeCell ref="A4:B4"/>
    <mergeCell ref="A18:B18"/>
  </mergeCells>
  <conditionalFormatting sqref="G3 G16:G17">
    <cfRule type="cellIs" dxfId="1667" priority="3" operator="between">
      <formula>TODAY()</formula>
      <formula>TODAY()+10</formula>
    </cfRule>
  </conditionalFormatting>
  <dataValidations count="4">
    <dataValidation type="list" allowBlank="1" showInputMessage="1" showErrorMessage="1" sqref="F14 F28 F16:F17">
      <formula1>PLAZOdePAGO2</formula1>
    </dataValidation>
    <dataValidation type="list" allowBlank="1" showInputMessage="1" showErrorMessage="1" sqref="E14 E28 E16:E17">
      <formula1>PLAZOdePAGO</formula1>
    </dataValidation>
    <dataValidation type="list" allowBlank="1" showInputMessage="1" showErrorMessage="1" sqref="C14 C28 C16:C17">
      <formula1>PROVEEDORES</formula1>
    </dataValidation>
    <dataValidation type="list" allowBlank="1" showInputMessage="1" showErrorMessage="1" sqref="B16:B17">
      <formula1>MATERIALES</formula1>
    </dataValidation>
  </dataValidations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"/>
  <sheetViews>
    <sheetView showGridLines="0" workbookViewId="0">
      <selection activeCell="A42" sqref="A41:XFD42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48" t="s">
        <v>782</v>
      </c>
      <c r="B3" s="1" t="s">
        <v>788</v>
      </c>
      <c r="C3" s="107" t="s">
        <v>15</v>
      </c>
      <c r="D3" s="109" t="s">
        <v>552</v>
      </c>
      <c r="E3" s="5" t="s">
        <v>5</v>
      </c>
      <c r="F3" s="6"/>
      <c r="G3" s="7">
        <v>43322</v>
      </c>
      <c r="H3" s="9">
        <v>1100</v>
      </c>
      <c r="I3" s="8">
        <v>193</v>
      </c>
      <c r="J3" s="8">
        <v>193000</v>
      </c>
      <c r="K3" s="106"/>
      <c r="L3" s="138"/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15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227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 t="s">
        <v>761</v>
      </c>
      <c r="D7" s="73"/>
      <c r="E7" s="37"/>
      <c r="F7" s="37"/>
      <c r="G7" s="37"/>
      <c r="H7" s="18"/>
      <c r="I7" s="18"/>
      <c r="J7" s="18"/>
      <c r="K7" s="19"/>
      <c r="L7" s="108"/>
    </row>
    <row r="8" spans="1:16" x14ac:dyDescent="0.3">
      <c r="A8" s="49"/>
      <c r="B8" s="17" t="s">
        <v>81</v>
      </c>
      <c r="C8" s="45">
        <v>8263292948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 t="s">
        <v>762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 t="s">
        <v>171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45" t="s">
        <v>763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81</v>
      </c>
      <c r="C12" s="45" t="s">
        <v>174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5" t="s">
        <v>764</v>
      </c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3.5" customHeight="1" x14ac:dyDescent="0.25">
      <c r="A16" s="66" t="s">
        <v>807</v>
      </c>
      <c r="B16" s="1" t="s">
        <v>6</v>
      </c>
      <c r="C16" s="82" t="s">
        <v>17</v>
      </c>
      <c r="D16" s="109">
        <v>18070039</v>
      </c>
      <c r="E16" s="86" t="s">
        <v>5</v>
      </c>
      <c r="F16" s="85"/>
      <c r="G16" s="80">
        <v>43319</v>
      </c>
      <c r="H16" s="9">
        <v>400</v>
      </c>
      <c r="I16" s="84">
        <v>514</v>
      </c>
      <c r="J16" s="84">
        <f>+I16*H16*0.8</f>
        <v>164480</v>
      </c>
      <c r="K16" s="87">
        <v>43319</v>
      </c>
      <c r="L16" s="93" t="s">
        <v>777</v>
      </c>
      <c r="M16" s="10" t="s">
        <v>406</v>
      </c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  <c r="L17" s="108"/>
    </row>
    <row r="18" spans="1:12" x14ac:dyDescent="0.3">
      <c r="A18" s="49"/>
      <c r="B18" s="17" t="s">
        <v>76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/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/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81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/>
      <c r="D24" s="73"/>
      <c r="E24" s="37"/>
      <c r="F24" s="37"/>
      <c r="G24" s="37"/>
      <c r="H24" s="18"/>
      <c r="I24" s="18"/>
      <c r="J24" s="18"/>
      <c r="K24" s="19"/>
      <c r="L24" s="108"/>
    </row>
    <row r="25" spans="1:12" x14ac:dyDescent="0.3">
      <c r="A25" s="49"/>
      <c r="B25" s="17" t="s">
        <v>81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</row>
    <row r="28" spans="1:12" ht="3.75" customHeight="1" x14ac:dyDescent="0.25">
      <c r="A28" s="47" t="s">
        <v>799</v>
      </c>
      <c r="B28" s="24"/>
      <c r="C28" s="24"/>
      <c r="D28" s="71"/>
      <c r="E28" s="24"/>
      <c r="F28" s="24"/>
      <c r="G28" s="24"/>
      <c r="H28" s="24"/>
      <c r="I28" s="24"/>
      <c r="J28" s="24"/>
      <c r="K28" s="24"/>
    </row>
    <row r="29" spans="1:12" x14ac:dyDescent="0.3">
      <c r="A29" s="48" t="s">
        <v>675</v>
      </c>
      <c r="B29" s="1" t="s">
        <v>359</v>
      </c>
      <c r="C29" s="107" t="s">
        <v>41</v>
      </c>
      <c r="D29" s="109" t="s">
        <v>760</v>
      </c>
      <c r="E29" s="5">
        <v>120</v>
      </c>
      <c r="F29" s="6" t="s">
        <v>20</v>
      </c>
      <c r="G29" s="7">
        <v>43322</v>
      </c>
      <c r="H29" s="9">
        <v>48</v>
      </c>
      <c r="I29" s="8">
        <v>820</v>
      </c>
      <c r="J29" s="8">
        <f>+I29*H29</f>
        <v>39360</v>
      </c>
      <c r="K29" s="106">
        <v>43200</v>
      </c>
    </row>
    <row r="30" spans="1:12" ht="18.75" x14ac:dyDescent="0.3">
      <c r="A30" s="531" t="s">
        <v>91</v>
      </c>
      <c r="B30" s="532"/>
      <c r="C30" s="13"/>
      <c r="D30" s="72"/>
      <c r="E30" s="13"/>
      <c r="F30" s="13"/>
      <c r="G30" s="13"/>
      <c r="H30" s="13"/>
      <c r="I30" s="13"/>
      <c r="J30" s="13"/>
      <c r="K30" s="14"/>
      <c r="L30" s="108"/>
    </row>
    <row r="31" spans="1:12" x14ac:dyDescent="0.3">
      <c r="A31" s="49"/>
      <c r="B31" s="17" t="s">
        <v>76</v>
      </c>
      <c r="C31" s="37"/>
      <c r="D31" s="73"/>
      <c r="E31" s="37"/>
      <c r="F31" s="37"/>
      <c r="G31" s="37"/>
      <c r="H31" s="18"/>
      <c r="I31" s="18"/>
      <c r="J31" s="18"/>
      <c r="K31" s="19"/>
    </row>
    <row r="32" spans="1:12" x14ac:dyDescent="0.3">
      <c r="A32" s="49"/>
      <c r="B32" s="17" t="s">
        <v>78</v>
      </c>
      <c r="C32" s="37"/>
      <c r="D32" s="73"/>
      <c r="E32" s="37"/>
      <c r="F32" s="37"/>
      <c r="G32" s="37"/>
      <c r="H32" s="18"/>
      <c r="I32" s="59"/>
      <c r="J32" s="18"/>
      <c r="K32" s="19"/>
    </row>
    <row r="33" spans="1:12" x14ac:dyDescent="0.3">
      <c r="A33" s="49"/>
      <c r="B33" s="56" t="s">
        <v>98</v>
      </c>
      <c r="C33" s="45"/>
      <c r="D33" s="73"/>
      <c r="E33" s="37"/>
      <c r="F33" s="37"/>
      <c r="G33" s="37"/>
      <c r="H33" s="18"/>
      <c r="I33" s="18"/>
      <c r="J33" s="18"/>
      <c r="K33" s="19"/>
    </row>
    <row r="34" spans="1:12" x14ac:dyDescent="0.3">
      <c r="A34" s="49"/>
      <c r="B34" s="17" t="s">
        <v>81</v>
      </c>
      <c r="C34" s="45"/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169</v>
      </c>
      <c r="C35" s="45"/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85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49"/>
      <c r="B37" s="56" t="s">
        <v>461</v>
      </c>
      <c r="C37" s="45"/>
      <c r="D37" s="73"/>
      <c r="E37" s="37"/>
      <c r="F37" s="37"/>
      <c r="G37" s="37"/>
      <c r="H37" s="18"/>
      <c r="I37" s="18"/>
      <c r="J37" s="18"/>
      <c r="K37" s="19"/>
      <c r="L37" s="108"/>
    </row>
    <row r="38" spans="1:12" x14ac:dyDescent="0.3">
      <c r="A38" s="49"/>
      <c r="B38" s="17" t="s">
        <v>81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85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50"/>
      <c r="B40" s="21"/>
      <c r="C40" s="111"/>
      <c r="D40" s="74"/>
      <c r="E40" s="38"/>
      <c r="F40" s="38"/>
      <c r="G40" s="38"/>
      <c r="H40" s="22"/>
      <c r="I40" s="22"/>
      <c r="J40" s="22"/>
      <c r="K40" s="23"/>
    </row>
  </sheetData>
  <mergeCells count="4">
    <mergeCell ref="A30:B30"/>
    <mergeCell ref="L1:P1"/>
    <mergeCell ref="A4:B4"/>
    <mergeCell ref="A17:B17"/>
  </mergeCells>
  <conditionalFormatting sqref="G3">
    <cfRule type="cellIs" dxfId="1666" priority="42" operator="between">
      <formula>TODAY()</formula>
      <formula>TODAY()+10</formula>
    </cfRule>
  </conditionalFormatting>
  <conditionalFormatting sqref="G29">
    <cfRule type="cellIs" dxfId="1665" priority="7" operator="between">
      <formula>TODAY()</formula>
      <formula>TODAY()+10</formula>
    </cfRule>
  </conditionalFormatting>
  <conditionalFormatting sqref="G16">
    <cfRule type="cellIs" dxfId="1664" priority="6" operator="between">
      <formula>TODAY()</formula>
      <formula>TODAY()+10</formula>
    </cfRule>
  </conditionalFormatting>
  <dataValidations disablePrompts="1" count="4">
    <dataValidation type="list" allowBlank="1" showInputMessage="1" showErrorMessage="1" sqref="B29 B16 B3">
      <formula1>MATERIALES</formula1>
    </dataValidation>
    <dataValidation type="list" allowBlank="1" showInputMessage="1" showErrorMessage="1" sqref="C14 C40 C27 C29 C16 C3">
      <formula1>PROVEEDORES</formula1>
    </dataValidation>
    <dataValidation type="list" allowBlank="1" showInputMessage="1" showErrorMessage="1" sqref="E14 E40 E27 E16 E3">
      <formula1>PLAZOdePAGO</formula1>
    </dataValidation>
    <dataValidation type="list" allowBlank="1" showInputMessage="1" showErrorMessage="1" sqref="F14 F40 F27 F29 F16 F3">
      <formula1>PLAZOdePAGO2</formula1>
    </dataValidation>
  </dataValidations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workbookViewId="0">
      <selection activeCell="L19" sqref="L19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3.5" customHeight="1" x14ac:dyDescent="0.3">
      <c r="A3" s="66" t="s">
        <v>781</v>
      </c>
      <c r="B3" s="1" t="s">
        <v>576</v>
      </c>
      <c r="C3" s="82" t="s">
        <v>15</v>
      </c>
      <c r="D3" s="109" t="s">
        <v>456</v>
      </c>
      <c r="E3" s="86" t="s">
        <v>5</v>
      </c>
      <c r="F3" s="85"/>
      <c r="G3" s="80">
        <v>43325</v>
      </c>
      <c r="H3" s="9">
        <v>7405</v>
      </c>
      <c r="I3" s="84">
        <v>155</v>
      </c>
      <c r="J3" s="84">
        <v>1147775</v>
      </c>
      <c r="K3" s="87"/>
      <c r="L3" s="93"/>
    </row>
    <row r="4" spans="1:16" ht="13.5" customHeight="1" x14ac:dyDescent="0.3">
      <c r="A4" s="66" t="s">
        <v>783</v>
      </c>
      <c r="B4" s="1" t="s">
        <v>8</v>
      </c>
      <c r="C4" s="82" t="s">
        <v>15</v>
      </c>
      <c r="D4" s="109" t="s">
        <v>456</v>
      </c>
      <c r="E4" s="86" t="s">
        <v>5</v>
      </c>
      <c r="F4" s="85"/>
      <c r="G4" s="80">
        <v>43325</v>
      </c>
      <c r="H4" s="9">
        <v>5500</v>
      </c>
      <c r="I4" s="84">
        <v>453</v>
      </c>
      <c r="J4" s="84">
        <v>2491500</v>
      </c>
      <c r="K4" s="87"/>
      <c r="L4" s="93"/>
    </row>
    <row r="5" spans="1:16" ht="13.5" customHeight="1" x14ac:dyDescent="0.3">
      <c r="A5" s="66" t="s">
        <v>784</v>
      </c>
      <c r="B5" s="1" t="s">
        <v>35</v>
      </c>
      <c r="C5" s="82" t="s">
        <v>15</v>
      </c>
      <c r="D5" s="109" t="s">
        <v>456</v>
      </c>
      <c r="E5" s="86" t="s">
        <v>5</v>
      </c>
      <c r="F5" s="85"/>
      <c r="G5" s="80">
        <v>43325</v>
      </c>
      <c r="H5" s="9">
        <v>600</v>
      </c>
      <c r="I5" s="84">
        <v>633</v>
      </c>
      <c r="J5" s="84">
        <v>379800</v>
      </c>
      <c r="K5" s="87"/>
      <c r="L5" s="93"/>
    </row>
    <row r="6" spans="1:16" ht="18.75" x14ac:dyDescent="0.3">
      <c r="A6" s="531" t="s">
        <v>91</v>
      </c>
      <c r="B6" s="532"/>
      <c r="C6" s="13"/>
      <c r="D6" s="72"/>
      <c r="E6" s="13"/>
      <c r="F6" s="13"/>
      <c r="G6" s="13"/>
      <c r="H6" s="13"/>
      <c r="I6" s="13"/>
      <c r="J6" s="13"/>
      <c r="K6" s="14"/>
    </row>
    <row r="7" spans="1:16" x14ac:dyDescent="0.3">
      <c r="A7" s="49"/>
      <c r="B7" s="17" t="s">
        <v>76</v>
      </c>
      <c r="C7" s="37" t="s">
        <v>15</v>
      </c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78</v>
      </c>
      <c r="C8" s="37" t="s">
        <v>227</v>
      </c>
      <c r="D8" s="73"/>
      <c r="E8" s="37"/>
      <c r="F8" s="37"/>
      <c r="G8" s="37"/>
      <c r="H8" s="18"/>
      <c r="I8" s="59"/>
      <c r="J8" s="18"/>
      <c r="K8" s="19"/>
    </row>
    <row r="9" spans="1:16" x14ac:dyDescent="0.3">
      <c r="A9" s="49"/>
      <c r="B9" s="56" t="s">
        <v>98</v>
      </c>
      <c r="C9" s="45" t="s">
        <v>761</v>
      </c>
      <c r="D9" s="73"/>
      <c r="E9" s="37"/>
      <c r="F9" s="37"/>
      <c r="G9" s="37"/>
      <c r="H9" s="18"/>
      <c r="I9" s="18"/>
      <c r="J9" s="18"/>
      <c r="K9" s="19"/>
      <c r="L9" s="108"/>
    </row>
    <row r="10" spans="1:16" x14ac:dyDescent="0.3">
      <c r="A10" s="49"/>
      <c r="B10" s="17" t="s">
        <v>81</v>
      </c>
      <c r="C10" s="45">
        <v>8263292948</v>
      </c>
      <c r="D10" s="73"/>
      <c r="E10" s="37"/>
      <c r="F10" s="37"/>
      <c r="G10" s="37"/>
      <c r="H10" s="18"/>
      <c r="I10" s="18"/>
      <c r="J10" s="18"/>
      <c r="K10" s="19"/>
    </row>
    <row r="11" spans="1:16" ht="15" x14ac:dyDescent="0.25">
      <c r="A11" s="49"/>
      <c r="B11" s="17" t="s">
        <v>169</v>
      </c>
      <c r="C11" s="45" t="s">
        <v>762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85</v>
      </c>
      <c r="C12" s="45" t="s">
        <v>171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56" t="s">
        <v>461</v>
      </c>
      <c r="C13" s="45" t="s">
        <v>763</v>
      </c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81</v>
      </c>
      <c r="C14" s="45" t="s">
        <v>174</v>
      </c>
      <c r="D14" s="73"/>
      <c r="E14" s="37"/>
      <c r="F14" s="37"/>
      <c r="G14" s="37"/>
      <c r="H14" s="18"/>
      <c r="I14" s="18"/>
      <c r="J14" s="18"/>
      <c r="K14" s="19"/>
    </row>
    <row r="15" spans="1:16" x14ac:dyDescent="0.3">
      <c r="A15" s="49"/>
      <c r="B15" s="17" t="s">
        <v>85</v>
      </c>
      <c r="C15" s="45" t="s">
        <v>764</v>
      </c>
      <c r="D15" s="73"/>
      <c r="E15" s="37"/>
      <c r="F15" s="37"/>
      <c r="G15" s="37"/>
      <c r="H15" s="18"/>
      <c r="I15" s="18"/>
      <c r="J15" s="18"/>
      <c r="K15" s="19"/>
    </row>
    <row r="16" spans="1:16" ht="15" x14ac:dyDescent="0.25">
      <c r="A16" s="50"/>
      <c r="B16" s="21"/>
      <c r="C16" s="111"/>
      <c r="D16" s="74"/>
      <c r="E16" s="38"/>
      <c r="F16" s="38"/>
      <c r="G16" s="38"/>
      <c r="H16" s="22"/>
      <c r="I16" s="22"/>
      <c r="J16" s="22"/>
      <c r="K16" s="23"/>
      <c r="L16" s="108"/>
    </row>
    <row r="17" spans="1:12" ht="3.75" customHeight="1" x14ac:dyDescent="0.25">
      <c r="A17" s="47"/>
      <c r="B17" s="24"/>
      <c r="C17" s="24"/>
      <c r="D17" s="71"/>
      <c r="E17" s="24"/>
      <c r="F17" s="24"/>
      <c r="G17" s="24"/>
      <c r="H17" s="24"/>
      <c r="I17" s="24"/>
      <c r="J17" s="24"/>
      <c r="K17" s="24"/>
    </row>
    <row r="18" spans="1:12" ht="13.5" customHeight="1" x14ac:dyDescent="0.3">
      <c r="A18" s="66" t="s">
        <v>801</v>
      </c>
      <c r="B18" s="1" t="s">
        <v>14</v>
      </c>
      <c r="C18" s="82" t="s">
        <v>7</v>
      </c>
      <c r="D18" s="109"/>
      <c r="E18" s="86" t="s">
        <v>5</v>
      </c>
      <c r="F18" s="85"/>
      <c r="G18" s="7">
        <v>43328</v>
      </c>
      <c r="H18" s="9">
        <v>425.6</v>
      </c>
      <c r="I18" s="84">
        <v>883</v>
      </c>
      <c r="J18" s="84">
        <v>375804.80000000005</v>
      </c>
      <c r="K18" s="87">
        <v>43306</v>
      </c>
      <c r="L18" s="93"/>
    </row>
    <row r="19" spans="1:12" ht="13.5" customHeight="1" x14ac:dyDescent="0.25">
      <c r="A19" s="66" t="s">
        <v>794</v>
      </c>
      <c r="B19" s="1" t="s">
        <v>795</v>
      </c>
      <c r="C19" s="82" t="s">
        <v>7</v>
      </c>
      <c r="D19" s="109" t="s">
        <v>810</v>
      </c>
      <c r="E19" s="86" t="s">
        <v>5</v>
      </c>
      <c r="F19" s="85"/>
      <c r="G19" s="7">
        <v>43328</v>
      </c>
      <c r="H19" s="9">
        <v>10.677770000000001</v>
      </c>
      <c r="I19" s="84">
        <v>10938.571443288252</v>
      </c>
      <c r="J19" s="84">
        <v>116799.55</v>
      </c>
      <c r="K19" s="87">
        <v>43319</v>
      </c>
      <c r="L19" s="93"/>
    </row>
    <row r="20" spans="1:12" ht="18.75" x14ac:dyDescent="0.3">
      <c r="A20" s="531" t="s">
        <v>91</v>
      </c>
      <c r="B20" s="532"/>
      <c r="C20" s="13"/>
      <c r="D20" s="72"/>
      <c r="E20" s="13"/>
      <c r="F20" s="13"/>
      <c r="G20" s="13"/>
      <c r="H20" s="13"/>
      <c r="I20" s="13"/>
      <c r="J20" s="13"/>
      <c r="K20" s="14"/>
      <c r="L20" s="108"/>
    </row>
    <row r="21" spans="1:12" x14ac:dyDescent="0.3">
      <c r="A21" s="49"/>
      <c r="B21" s="17" t="s">
        <v>76</v>
      </c>
      <c r="C21" s="37"/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78</v>
      </c>
      <c r="C22" s="37"/>
      <c r="D22" s="73"/>
      <c r="E22" s="37"/>
      <c r="F22" s="37"/>
      <c r="G22" s="37"/>
      <c r="H22" s="18"/>
      <c r="I22" s="59"/>
      <c r="J22" s="18"/>
      <c r="K22" s="19"/>
    </row>
    <row r="23" spans="1:12" x14ac:dyDescent="0.3">
      <c r="A23" s="49"/>
      <c r="B23" s="56" t="s">
        <v>98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ht="15" x14ac:dyDescent="0.25">
      <c r="A25" s="49"/>
      <c r="B25" s="17" t="s">
        <v>169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56" t="s">
        <v>461</v>
      </c>
      <c r="C27" s="45"/>
      <c r="D27" s="73"/>
      <c r="E27" s="37"/>
      <c r="F27" s="37"/>
      <c r="G27" s="37"/>
      <c r="H27" s="18"/>
      <c r="I27" s="18"/>
      <c r="J27" s="18"/>
      <c r="K27" s="19"/>
      <c r="L27" s="108"/>
    </row>
    <row r="28" spans="1:12" x14ac:dyDescent="0.3">
      <c r="A28" s="49"/>
      <c r="B28" s="17" t="s">
        <v>81</v>
      </c>
      <c r="C28" s="45"/>
      <c r="D28" s="73"/>
      <c r="E28" s="37"/>
      <c r="F28" s="37"/>
      <c r="G28" s="37"/>
      <c r="H28" s="18"/>
      <c r="I28" s="18"/>
      <c r="J28" s="18"/>
      <c r="K28" s="19"/>
    </row>
    <row r="29" spans="1:12" x14ac:dyDescent="0.3">
      <c r="A29" s="49"/>
      <c r="B29" s="17" t="s">
        <v>85</v>
      </c>
      <c r="C29" s="45"/>
      <c r="D29" s="73"/>
      <c r="E29" s="37"/>
      <c r="F29" s="37"/>
      <c r="G29" s="37"/>
      <c r="H29" s="18"/>
      <c r="I29" s="18"/>
      <c r="J29" s="18"/>
      <c r="K29" s="19"/>
    </row>
    <row r="30" spans="1:12" ht="15" x14ac:dyDescent="0.25">
      <c r="A30" s="50"/>
      <c r="B30" s="21"/>
      <c r="C30" s="111"/>
      <c r="D30" s="74"/>
      <c r="E30" s="38"/>
      <c r="F30" s="38"/>
      <c r="G30" s="38"/>
      <c r="H30" s="22"/>
      <c r="I30" s="22"/>
      <c r="J30" s="22"/>
      <c r="K30" s="23"/>
    </row>
    <row r="31" spans="1:12" ht="3.75" customHeight="1" x14ac:dyDescent="0.25">
      <c r="A31" s="47"/>
      <c r="B31" s="24"/>
      <c r="C31" s="24"/>
      <c r="D31" s="71"/>
      <c r="E31" s="24"/>
      <c r="F31" s="24"/>
      <c r="G31" s="24"/>
      <c r="H31" s="24"/>
      <c r="I31" s="24"/>
      <c r="J31" s="24"/>
      <c r="K31" s="24"/>
    </row>
    <row r="32" spans="1:12" ht="15" x14ac:dyDescent="0.25">
      <c r="A32" s="48" t="s">
        <v>802</v>
      </c>
      <c r="B32" s="1" t="s">
        <v>449</v>
      </c>
      <c r="C32" s="107" t="s">
        <v>512</v>
      </c>
      <c r="D32" s="109" t="s">
        <v>552</v>
      </c>
      <c r="E32" s="5" t="s">
        <v>5</v>
      </c>
      <c r="F32" s="6"/>
      <c r="G32" s="7">
        <v>43326</v>
      </c>
      <c r="H32" s="9">
        <v>4400</v>
      </c>
      <c r="I32" s="8">
        <v>260</v>
      </c>
      <c r="J32" s="8">
        <f>+I32*H32</f>
        <v>1144000</v>
      </c>
      <c r="K32" s="106"/>
    </row>
    <row r="33" spans="1:12" ht="18.75" x14ac:dyDescent="0.3">
      <c r="A33" s="531" t="s">
        <v>91</v>
      </c>
      <c r="B33" s="532"/>
      <c r="C33" s="13"/>
      <c r="D33" s="72"/>
      <c r="E33" s="13"/>
      <c r="F33" s="13"/>
      <c r="G33" s="13"/>
      <c r="H33" s="13"/>
      <c r="I33" s="13"/>
      <c r="J33" s="13"/>
      <c r="K33" s="14"/>
      <c r="L33" s="108"/>
    </row>
    <row r="34" spans="1:12" x14ac:dyDescent="0.3">
      <c r="A34" s="49"/>
      <c r="B34" s="17" t="s">
        <v>76</v>
      </c>
      <c r="C34" s="37"/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78</v>
      </c>
      <c r="C35" s="37"/>
      <c r="D35" s="73"/>
      <c r="E35" s="37"/>
      <c r="F35" s="37"/>
      <c r="G35" s="37"/>
      <c r="H35" s="18"/>
      <c r="I35" s="59"/>
      <c r="J35" s="18"/>
      <c r="K35" s="19"/>
    </row>
    <row r="36" spans="1:12" x14ac:dyDescent="0.3">
      <c r="A36" s="49"/>
      <c r="B36" s="56" t="s">
        <v>98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49"/>
      <c r="B37" s="17" t="s">
        <v>81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169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85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56" t="s">
        <v>461</v>
      </c>
      <c r="C40" s="45"/>
      <c r="D40" s="73"/>
      <c r="E40" s="37"/>
      <c r="F40" s="37"/>
      <c r="G40" s="37"/>
      <c r="H40" s="18"/>
      <c r="I40" s="18"/>
      <c r="J40" s="18"/>
      <c r="K40" s="19"/>
      <c r="L40" s="108"/>
    </row>
    <row r="41" spans="1:12" x14ac:dyDescent="0.3">
      <c r="A41" s="49"/>
      <c r="B41" s="17" t="s">
        <v>81</v>
      </c>
      <c r="C41" s="45"/>
      <c r="D41" s="73"/>
      <c r="E41" s="37"/>
      <c r="F41" s="37"/>
      <c r="G41" s="37"/>
      <c r="H41" s="18"/>
      <c r="I41" s="18"/>
      <c r="J41" s="18"/>
      <c r="K41" s="19"/>
    </row>
    <row r="42" spans="1:12" x14ac:dyDescent="0.3">
      <c r="A42" s="49"/>
      <c r="B42" s="17" t="s">
        <v>85</v>
      </c>
      <c r="C42" s="45"/>
      <c r="D42" s="73"/>
      <c r="E42" s="37"/>
      <c r="F42" s="37"/>
      <c r="G42" s="37"/>
      <c r="H42" s="18"/>
      <c r="I42" s="18"/>
      <c r="J42" s="18"/>
      <c r="K42" s="19"/>
    </row>
    <row r="43" spans="1:12" x14ac:dyDescent="0.3">
      <c r="A43" s="50"/>
      <c r="B43" s="21"/>
      <c r="C43" s="111"/>
      <c r="D43" s="74"/>
      <c r="E43" s="38"/>
      <c r="F43" s="38"/>
      <c r="G43" s="38"/>
      <c r="H43" s="22"/>
      <c r="I43" s="22"/>
      <c r="J43" s="22"/>
      <c r="K43" s="23"/>
    </row>
  </sheetData>
  <mergeCells count="4">
    <mergeCell ref="A33:B33"/>
    <mergeCell ref="L1:P1"/>
    <mergeCell ref="A6:B6"/>
    <mergeCell ref="A20:B20"/>
  </mergeCells>
  <conditionalFormatting sqref="G3:G5 G18">
    <cfRule type="cellIs" dxfId="1663" priority="31" operator="between">
      <formula>TODAY()</formula>
      <formula>TODAY()+10</formula>
    </cfRule>
  </conditionalFormatting>
  <conditionalFormatting sqref="G32">
    <cfRule type="cellIs" dxfId="1662" priority="5" operator="between">
      <formula>TODAY()</formula>
      <formula>TODAY()+10</formula>
    </cfRule>
  </conditionalFormatting>
  <conditionalFormatting sqref="G19">
    <cfRule type="cellIs" dxfId="1661" priority="1" operator="between">
      <formula>TODAY()</formula>
      <formula>TODAY()+10</formula>
    </cfRule>
  </conditionalFormatting>
  <dataValidations count="4">
    <dataValidation type="list" allowBlank="1" showInputMessage="1" showErrorMessage="1" sqref="F16 F30 F43 F3:F5 F18:F19">
      <formula1>PLAZOdePAGO2</formula1>
    </dataValidation>
    <dataValidation type="list" allowBlank="1" showInputMessage="1" showErrorMessage="1" sqref="E16 E30 E32 E43 E3:E5 E18:E19">
      <formula1>PLAZOdePAGO</formula1>
    </dataValidation>
    <dataValidation type="list" allowBlank="1" showInputMessage="1" showErrorMessage="1" sqref="C16 C30 C43 C3:C5 C18:C19">
      <formula1>PROVEEDORES</formula1>
    </dataValidation>
    <dataValidation type="list" allowBlank="1" showInputMessage="1" showErrorMessage="1" sqref="B3:B5 B18:B19">
      <formula1>MATERIALES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showGridLines="0" topLeftCell="A24" workbookViewId="0">
      <selection activeCell="L48" sqref="L48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3.5" customHeight="1" x14ac:dyDescent="0.3">
      <c r="A3" s="66" t="s">
        <v>566</v>
      </c>
      <c r="B3" s="1" t="s">
        <v>791</v>
      </c>
      <c r="C3" s="82" t="s">
        <v>15</v>
      </c>
      <c r="D3" s="109" t="s">
        <v>456</v>
      </c>
      <c r="E3" s="86">
        <v>90</v>
      </c>
      <c r="F3" s="85" t="s">
        <v>20</v>
      </c>
      <c r="G3" s="106">
        <v>43333</v>
      </c>
      <c r="H3" s="9">
        <v>4000</v>
      </c>
      <c r="I3" s="84">
        <v>147</v>
      </c>
      <c r="J3" s="84">
        <v>97000</v>
      </c>
      <c r="K3" s="87">
        <v>43176</v>
      </c>
      <c r="L3" s="93" t="s">
        <v>110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15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227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 t="s">
        <v>761</v>
      </c>
      <c r="D7" s="73"/>
      <c r="E7" s="37"/>
      <c r="F7" s="37"/>
      <c r="G7" s="37"/>
      <c r="H7" s="18"/>
      <c r="I7" s="18"/>
      <c r="J7" s="18"/>
      <c r="K7" s="19"/>
      <c r="L7" s="108"/>
    </row>
    <row r="8" spans="1:16" x14ac:dyDescent="0.3">
      <c r="A8" s="49"/>
      <c r="B8" s="17" t="s">
        <v>81</v>
      </c>
      <c r="C8" s="45">
        <v>8263292948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 t="s">
        <v>762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 t="s">
        <v>171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45" t="s">
        <v>763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81</v>
      </c>
      <c r="C12" s="45" t="s">
        <v>174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5" t="s">
        <v>764</v>
      </c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ht="13.5" customHeight="1" x14ac:dyDescent="0.25">
      <c r="A16" s="66" t="s">
        <v>767</v>
      </c>
      <c r="B16" s="1" t="s">
        <v>6</v>
      </c>
      <c r="C16" s="82" t="s">
        <v>17</v>
      </c>
      <c r="D16" s="109" t="s">
        <v>824</v>
      </c>
      <c r="E16" s="86" t="s">
        <v>5</v>
      </c>
      <c r="F16" s="85"/>
      <c r="G16" s="80">
        <v>43335</v>
      </c>
      <c r="H16" s="9">
        <v>250</v>
      </c>
      <c r="I16" s="84">
        <v>505</v>
      </c>
      <c r="J16" s="84">
        <f>+I16*H16*0.8</f>
        <v>101000</v>
      </c>
      <c r="K16" s="87"/>
      <c r="L16" s="93" t="s">
        <v>777</v>
      </c>
      <c r="M16" s="10" t="s">
        <v>110</v>
      </c>
    </row>
    <row r="17" spans="1:13" ht="13.5" customHeight="1" x14ac:dyDescent="0.25">
      <c r="A17" s="66" t="s">
        <v>808</v>
      </c>
      <c r="B17" s="1" t="s">
        <v>6</v>
      </c>
      <c r="C17" s="82" t="s">
        <v>17</v>
      </c>
      <c r="D17" s="109" t="s">
        <v>825</v>
      </c>
      <c r="E17" s="86" t="s">
        <v>5</v>
      </c>
      <c r="F17" s="85"/>
      <c r="G17" s="80">
        <v>43335</v>
      </c>
      <c r="H17" s="9">
        <v>150</v>
      </c>
      <c r="I17" s="84">
        <v>514</v>
      </c>
      <c r="J17" s="84">
        <f>+I17*H17*0.8-20560</f>
        <v>41120</v>
      </c>
      <c r="K17" s="87"/>
      <c r="L17" s="93" t="s">
        <v>819</v>
      </c>
      <c r="M17" s="10" t="s">
        <v>110</v>
      </c>
    </row>
    <row r="18" spans="1:13" ht="13.5" customHeight="1" x14ac:dyDescent="0.25">
      <c r="A18" s="66" t="s">
        <v>809</v>
      </c>
      <c r="B18" s="1" t="s">
        <v>6</v>
      </c>
      <c r="C18" s="82" t="s">
        <v>17</v>
      </c>
      <c r="D18" s="109">
        <v>18080006</v>
      </c>
      <c r="E18" s="86" t="s">
        <v>5</v>
      </c>
      <c r="F18" s="85"/>
      <c r="G18" s="80">
        <v>43335</v>
      </c>
      <c r="H18" s="9">
        <v>325</v>
      </c>
      <c r="I18" s="84">
        <v>514</v>
      </c>
      <c r="J18" s="84">
        <f>+I18*H18*0.8</f>
        <v>133640</v>
      </c>
      <c r="K18" s="87"/>
      <c r="L18" s="93" t="s">
        <v>777</v>
      </c>
      <c r="M18" s="10" t="s">
        <v>110</v>
      </c>
    </row>
    <row r="19" spans="1:13" ht="18.75" x14ac:dyDescent="0.3">
      <c r="A19" s="531" t="s">
        <v>91</v>
      </c>
      <c r="B19" s="532"/>
      <c r="C19" s="13"/>
      <c r="D19" s="72"/>
      <c r="E19" s="13"/>
      <c r="F19" s="13"/>
      <c r="G19" s="13"/>
      <c r="H19" s="13"/>
      <c r="I19" s="13"/>
      <c r="J19" s="13"/>
      <c r="K19" s="14"/>
      <c r="L19" s="108"/>
    </row>
    <row r="20" spans="1:13" x14ac:dyDescent="0.3">
      <c r="A20" s="49"/>
      <c r="B20" s="17" t="s">
        <v>76</v>
      </c>
      <c r="C20" s="37"/>
      <c r="D20" s="73"/>
      <c r="E20" s="37"/>
      <c r="F20" s="37"/>
      <c r="G20" s="37"/>
      <c r="H20" s="18"/>
      <c r="I20" s="18"/>
      <c r="J20" s="18"/>
      <c r="K20" s="19"/>
    </row>
    <row r="21" spans="1:13" x14ac:dyDescent="0.3">
      <c r="A21" s="49"/>
      <c r="B21" s="17" t="s">
        <v>78</v>
      </c>
      <c r="C21" s="37"/>
      <c r="D21" s="73"/>
      <c r="E21" s="37"/>
      <c r="F21" s="37"/>
      <c r="G21" s="37"/>
      <c r="H21" s="18"/>
      <c r="I21" s="59"/>
      <c r="J21" s="18"/>
      <c r="K21" s="19"/>
    </row>
    <row r="22" spans="1:13" x14ac:dyDescent="0.3">
      <c r="A22" s="49"/>
      <c r="B22" s="56" t="s">
        <v>98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3" x14ac:dyDescent="0.3">
      <c r="A23" s="49"/>
      <c r="B23" s="17" t="s">
        <v>81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3" ht="15" x14ac:dyDescent="0.25">
      <c r="A24" s="49"/>
      <c r="B24" s="17" t="s">
        <v>169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3" x14ac:dyDescent="0.3">
      <c r="A25" s="49"/>
      <c r="B25" s="17" t="s">
        <v>85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3" x14ac:dyDescent="0.3">
      <c r="A26" s="49"/>
      <c r="B26" s="56" t="s">
        <v>461</v>
      </c>
      <c r="C26" s="45"/>
      <c r="D26" s="73"/>
      <c r="E26" s="37"/>
      <c r="F26" s="37"/>
      <c r="G26" s="37"/>
      <c r="H26" s="18"/>
      <c r="I26" s="18"/>
      <c r="J26" s="18"/>
      <c r="K26" s="19"/>
      <c r="L26" s="108"/>
    </row>
    <row r="27" spans="1:13" x14ac:dyDescent="0.3">
      <c r="A27" s="49"/>
      <c r="B27" s="17" t="s">
        <v>81</v>
      </c>
      <c r="C27" s="45"/>
      <c r="D27" s="73"/>
      <c r="E27" s="37"/>
      <c r="F27" s="37"/>
      <c r="G27" s="37"/>
      <c r="H27" s="18"/>
      <c r="I27" s="18"/>
      <c r="J27" s="18"/>
      <c r="K27" s="19"/>
    </row>
    <row r="28" spans="1:13" x14ac:dyDescent="0.3">
      <c r="A28" s="49"/>
      <c r="B28" s="17" t="s">
        <v>85</v>
      </c>
      <c r="C28" s="45"/>
      <c r="D28" s="73"/>
      <c r="E28" s="37"/>
      <c r="F28" s="37"/>
      <c r="G28" s="37"/>
      <c r="H28" s="18"/>
      <c r="I28" s="18"/>
      <c r="J28" s="18"/>
      <c r="K28" s="19"/>
    </row>
    <row r="29" spans="1:13" ht="15" x14ac:dyDescent="0.25">
      <c r="A29" s="50"/>
      <c r="B29" s="21"/>
      <c r="C29" s="111"/>
      <c r="D29" s="74"/>
      <c r="E29" s="38"/>
      <c r="F29" s="38"/>
      <c r="G29" s="38"/>
      <c r="H29" s="22"/>
      <c r="I29" s="22"/>
      <c r="J29" s="22"/>
      <c r="K29" s="23"/>
    </row>
    <row r="30" spans="1:13" ht="3.75" customHeight="1" x14ac:dyDescent="0.25">
      <c r="A30" s="47"/>
      <c r="B30" s="24"/>
      <c r="C30" s="24"/>
      <c r="D30" s="71"/>
      <c r="E30" s="24"/>
      <c r="F30" s="24"/>
      <c r="G30" s="24"/>
      <c r="H30" s="24"/>
      <c r="I30" s="24"/>
      <c r="J30" s="24"/>
      <c r="K30" s="24"/>
    </row>
    <row r="31" spans="1:13" x14ac:dyDescent="0.3">
      <c r="A31" s="66" t="s">
        <v>768</v>
      </c>
      <c r="B31" s="1" t="s">
        <v>14</v>
      </c>
      <c r="C31" s="82" t="s">
        <v>7</v>
      </c>
      <c r="D31" s="109"/>
      <c r="E31" s="86" t="s">
        <v>5</v>
      </c>
      <c r="F31" s="85"/>
      <c r="G31" s="7">
        <v>43335</v>
      </c>
      <c r="H31" s="9">
        <v>558.6</v>
      </c>
      <c r="I31" s="84">
        <v>878</v>
      </c>
      <c r="J31" s="84">
        <v>490450.80000000005</v>
      </c>
      <c r="K31" s="87">
        <v>43314</v>
      </c>
      <c r="L31" s="93" t="s">
        <v>110</v>
      </c>
    </row>
    <row r="32" spans="1:13" ht="18.75" x14ac:dyDescent="0.3">
      <c r="A32" s="531" t="s">
        <v>91</v>
      </c>
      <c r="B32" s="532"/>
      <c r="C32" s="13"/>
      <c r="D32" s="72"/>
      <c r="E32" s="13"/>
      <c r="F32" s="13"/>
      <c r="G32" s="13"/>
      <c r="H32" s="13"/>
      <c r="I32" s="13"/>
      <c r="J32" s="13"/>
      <c r="K32" s="14"/>
      <c r="L32" s="108"/>
    </row>
    <row r="33" spans="1:12" x14ac:dyDescent="0.3">
      <c r="A33" s="49"/>
      <c r="B33" s="17" t="s">
        <v>76</v>
      </c>
      <c r="C33" s="37"/>
      <c r="D33" s="73"/>
      <c r="E33" s="37"/>
      <c r="F33" s="37"/>
      <c r="G33" s="37"/>
      <c r="H33" s="18"/>
      <c r="I33" s="18"/>
      <c r="J33" s="18"/>
      <c r="K33" s="19"/>
    </row>
    <row r="34" spans="1:12" x14ac:dyDescent="0.3">
      <c r="A34" s="49"/>
      <c r="B34" s="17" t="s">
        <v>78</v>
      </c>
      <c r="C34" s="37"/>
      <c r="D34" s="73"/>
      <c r="E34" s="37"/>
      <c r="F34" s="37"/>
      <c r="G34" s="37"/>
      <c r="H34" s="18"/>
      <c r="I34" s="59"/>
      <c r="J34" s="18"/>
      <c r="K34" s="19"/>
    </row>
    <row r="35" spans="1:12" x14ac:dyDescent="0.3">
      <c r="A35" s="49"/>
      <c r="B35" s="56" t="s">
        <v>98</v>
      </c>
      <c r="C35" s="45"/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81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2" ht="15" x14ac:dyDescent="0.25">
      <c r="A37" s="49"/>
      <c r="B37" s="17" t="s">
        <v>169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85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56" t="s">
        <v>461</v>
      </c>
      <c r="C39" s="45"/>
      <c r="D39" s="73"/>
      <c r="E39" s="37"/>
      <c r="F39" s="37"/>
      <c r="G39" s="37"/>
      <c r="H39" s="18"/>
      <c r="I39" s="18"/>
      <c r="J39" s="18"/>
      <c r="K39" s="19"/>
      <c r="L39" s="108"/>
    </row>
    <row r="40" spans="1:12" x14ac:dyDescent="0.3">
      <c r="A40" s="49"/>
      <c r="B40" s="17" t="s">
        <v>81</v>
      </c>
      <c r="C40" s="45"/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49"/>
      <c r="B41" s="17" t="s">
        <v>85</v>
      </c>
      <c r="C41" s="45"/>
      <c r="D41" s="73"/>
      <c r="E41" s="37"/>
      <c r="F41" s="37"/>
      <c r="G41" s="37"/>
      <c r="H41" s="18"/>
      <c r="I41" s="18"/>
      <c r="J41" s="18"/>
      <c r="K41" s="19"/>
    </row>
    <row r="42" spans="1:12" ht="15" x14ac:dyDescent="0.25">
      <c r="A42" s="50"/>
      <c r="B42" s="21"/>
      <c r="C42" s="111"/>
      <c r="D42" s="74"/>
      <c r="E42" s="38"/>
      <c r="F42" s="38"/>
      <c r="G42" s="38"/>
      <c r="H42" s="22"/>
      <c r="I42" s="22"/>
      <c r="J42" s="22"/>
      <c r="K42" s="23"/>
    </row>
    <row r="43" spans="1:12" ht="3.75" customHeight="1" x14ac:dyDescent="0.25">
      <c r="A43" s="47"/>
      <c r="B43" s="24"/>
      <c r="C43" s="24"/>
      <c r="D43" s="71"/>
      <c r="E43" s="24"/>
      <c r="F43" s="24"/>
      <c r="G43" s="24"/>
      <c r="H43" s="24"/>
      <c r="I43" s="24"/>
      <c r="J43" s="24"/>
      <c r="K43" s="24"/>
    </row>
    <row r="44" spans="1:12" ht="15" customHeight="1" x14ac:dyDescent="0.3">
      <c r="A44" s="140" t="s">
        <v>803</v>
      </c>
      <c r="B44" s="27" t="s">
        <v>243</v>
      </c>
      <c r="C44" s="143" t="s">
        <v>46</v>
      </c>
      <c r="D44" s="109" t="s">
        <v>456</v>
      </c>
      <c r="E44" s="5" t="s">
        <v>5</v>
      </c>
      <c r="F44" s="6"/>
      <c r="G44" s="543">
        <v>43336</v>
      </c>
      <c r="H44" s="9">
        <v>6672.25</v>
      </c>
      <c r="I44" s="8">
        <f>273+5</f>
        <v>278</v>
      </c>
      <c r="J44" s="546">
        <v>1846626.6</v>
      </c>
      <c r="K44" s="106"/>
    </row>
    <row r="45" spans="1:12" x14ac:dyDescent="0.3">
      <c r="A45" s="141" t="s">
        <v>804</v>
      </c>
      <c r="B45" s="145" t="s">
        <v>33</v>
      </c>
      <c r="C45" s="143" t="s">
        <v>46</v>
      </c>
      <c r="D45" s="109" t="s">
        <v>456</v>
      </c>
      <c r="E45" s="5" t="s">
        <v>5</v>
      </c>
      <c r="F45" s="6"/>
      <c r="G45" s="544"/>
      <c r="H45" s="9">
        <v>1595.65</v>
      </c>
      <c r="I45" s="8">
        <v>312</v>
      </c>
      <c r="J45" s="547"/>
      <c r="K45" s="106"/>
    </row>
    <row r="46" spans="1:12" x14ac:dyDescent="0.3">
      <c r="A46" s="142" t="s">
        <v>805</v>
      </c>
      <c r="B46" s="144" t="s">
        <v>32</v>
      </c>
      <c r="C46" s="143" t="s">
        <v>46</v>
      </c>
      <c r="D46" s="109" t="s">
        <v>456</v>
      </c>
      <c r="E46" s="5" t="s">
        <v>5</v>
      </c>
      <c r="F46" s="6"/>
      <c r="G46" s="545"/>
      <c r="H46" s="9">
        <v>2749.27</v>
      </c>
      <c r="I46" s="8">
        <v>309</v>
      </c>
      <c r="J46" s="548"/>
      <c r="K46" s="106"/>
    </row>
    <row r="47" spans="1:12" ht="15" x14ac:dyDescent="0.25">
      <c r="A47" s="139" t="s">
        <v>811</v>
      </c>
      <c r="B47" s="144" t="s">
        <v>449</v>
      </c>
      <c r="C47" s="107" t="s">
        <v>46</v>
      </c>
      <c r="D47" s="109"/>
      <c r="E47" s="5" t="s">
        <v>5</v>
      </c>
      <c r="F47" s="6"/>
      <c r="G47" s="7">
        <v>43333</v>
      </c>
      <c r="H47" s="9">
        <v>4488</v>
      </c>
      <c r="I47" s="8">
        <v>44.5</v>
      </c>
      <c r="J47" s="8">
        <f>+I47*H47</f>
        <v>199716</v>
      </c>
      <c r="K47" s="106"/>
      <c r="L47" s="10" t="s">
        <v>110</v>
      </c>
    </row>
    <row r="48" spans="1:12" ht="18.75" x14ac:dyDescent="0.3">
      <c r="A48" s="531" t="s">
        <v>91</v>
      </c>
      <c r="B48" s="532"/>
      <c r="C48" s="13"/>
      <c r="D48" s="72"/>
      <c r="E48" s="13"/>
      <c r="F48" s="13"/>
      <c r="G48" s="13"/>
      <c r="H48" s="13"/>
      <c r="I48" s="13"/>
      <c r="J48" s="13"/>
      <c r="K48" s="14"/>
      <c r="L48" s="108"/>
    </row>
    <row r="49" spans="1:12" x14ac:dyDescent="0.3">
      <c r="A49" s="49"/>
      <c r="B49" s="17" t="s">
        <v>76</v>
      </c>
      <c r="C49" s="37"/>
      <c r="D49" s="73"/>
      <c r="E49" s="37"/>
      <c r="F49" s="37"/>
      <c r="G49" s="37"/>
      <c r="H49" s="18"/>
      <c r="I49" s="18"/>
      <c r="J49" s="18"/>
      <c r="K49" s="19"/>
    </row>
    <row r="50" spans="1:12" x14ac:dyDescent="0.3">
      <c r="A50" s="49"/>
      <c r="B50" s="17" t="s">
        <v>78</v>
      </c>
      <c r="C50" s="37"/>
      <c r="D50" s="73"/>
      <c r="E50" s="37"/>
      <c r="F50" s="37"/>
      <c r="G50" s="37"/>
      <c r="H50" s="18"/>
      <c r="I50" s="59"/>
      <c r="J50" s="18"/>
      <c r="K50" s="19"/>
    </row>
    <row r="51" spans="1:12" x14ac:dyDescent="0.3">
      <c r="A51" s="49"/>
      <c r="B51" s="56" t="s">
        <v>98</v>
      </c>
      <c r="C51" s="45"/>
      <c r="D51" s="73"/>
      <c r="E51" s="37"/>
      <c r="F51" s="37"/>
      <c r="G51" s="37"/>
      <c r="H51" s="18"/>
      <c r="I51" s="18"/>
      <c r="J51" s="18"/>
      <c r="K51" s="19"/>
    </row>
    <row r="52" spans="1:12" x14ac:dyDescent="0.3">
      <c r="A52" s="49"/>
      <c r="B52" s="17" t="s">
        <v>81</v>
      </c>
      <c r="C52" s="45"/>
      <c r="D52" s="73"/>
      <c r="E52" s="37"/>
      <c r="F52" s="37"/>
      <c r="G52" s="37"/>
      <c r="H52" s="18"/>
      <c r="I52" s="18"/>
      <c r="J52" s="18"/>
      <c r="K52" s="19"/>
    </row>
    <row r="53" spans="1:12" ht="15" x14ac:dyDescent="0.25">
      <c r="A53" s="49"/>
      <c r="B53" s="17" t="s">
        <v>169</v>
      </c>
      <c r="C53" s="45"/>
      <c r="D53" s="73"/>
      <c r="E53" s="37"/>
      <c r="F53" s="37"/>
      <c r="G53" s="37"/>
      <c r="H53" s="18"/>
      <c r="I53" s="18"/>
      <c r="J53" s="18"/>
      <c r="K53" s="19"/>
    </row>
    <row r="54" spans="1:12" x14ac:dyDescent="0.3">
      <c r="A54" s="49"/>
      <c r="B54" s="17" t="s">
        <v>85</v>
      </c>
      <c r="C54" s="45"/>
      <c r="D54" s="73"/>
      <c r="E54" s="37"/>
      <c r="F54" s="37"/>
      <c r="G54" s="37"/>
      <c r="H54" s="18"/>
      <c r="I54" s="18"/>
      <c r="J54" s="18"/>
      <c r="K54" s="19"/>
    </row>
    <row r="55" spans="1:12" x14ac:dyDescent="0.3">
      <c r="A55" s="49"/>
      <c r="B55" s="56" t="s">
        <v>461</v>
      </c>
      <c r="C55" s="45"/>
      <c r="D55" s="73"/>
      <c r="E55" s="37"/>
      <c r="F55" s="37"/>
      <c r="G55" s="37"/>
      <c r="H55" s="18"/>
      <c r="I55" s="18"/>
      <c r="J55" s="18"/>
      <c r="K55" s="19"/>
      <c r="L55" s="108"/>
    </row>
    <row r="56" spans="1:12" x14ac:dyDescent="0.3">
      <c r="A56" s="49"/>
      <c r="B56" s="17" t="s">
        <v>81</v>
      </c>
      <c r="C56" s="45"/>
      <c r="D56" s="73"/>
      <c r="E56" s="37"/>
      <c r="F56" s="37"/>
      <c r="G56" s="37"/>
      <c r="H56" s="18"/>
      <c r="I56" s="18"/>
      <c r="J56" s="18"/>
      <c r="K56" s="19"/>
    </row>
    <row r="57" spans="1:12" x14ac:dyDescent="0.3">
      <c r="A57" s="49"/>
      <c r="B57" s="17" t="s">
        <v>85</v>
      </c>
      <c r="C57" s="45"/>
      <c r="D57" s="73"/>
      <c r="E57" s="37"/>
      <c r="F57" s="37"/>
      <c r="G57" s="37"/>
      <c r="H57" s="18"/>
      <c r="I57" s="18"/>
      <c r="J57" s="18"/>
      <c r="K57" s="19"/>
    </row>
    <row r="58" spans="1:12" x14ac:dyDescent="0.3">
      <c r="A58" s="50"/>
      <c r="B58" s="21"/>
      <c r="C58" s="111"/>
      <c r="D58" s="74"/>
      <c r="E58" s="38"/>
      <c r="F58" s="38"/>
      <c r="G58" s="38"/>
      <c r="H58" s="22"/>
      <c r="I58" s="22"/>
      <c r="J58" s="22"/>
      <c r="K58" s="23"/>
    </row>
  </sheetData>
  <mergeCells count="7">
    <mergeCell ref="L1:P1"/>
    <mergeCell ref="A4:B4"/>
    <mergeCell ref="A19:B19"/>
    <mergeCell ref="A32:B32"/>
    <mergeCell ref="A48:B48"/>
    <mergeCell ref="G44:G46"/>
    <mergeCell ref="J44:J46"/>
  </mergeCells>
  <conditionalFormatting sqref="G44 G31">
    <cfRule type="cellIs" dxfId="1660" priority="14" operator="between">
      <formula>TODAY()</formula>
      <formula>TODAY()+10</formula>
    </cfRule>
  </conditionalFormatting>
  <conditionalFormatting sqref="G47">
    <cfRule type="cellIs" dxfId="1659" priority="10" operator="between">
      <formula>TODAY()</formula>
      <formula>TODAY()+10</formula>
    </cfRule>
  </conditionalFormatting>
  <conditionalFormatting sqref="G16:G18">
    <cfRule type="cellIs" dxfId="1658" priority="3" operator="between">
      <formula>TODAY()</formula>
      <formula>TODAY()+10</formula>
    </cfRule>
  </conditionalFormatting>
  <conditionalFormatting sqref="G3">
    <cfRule type="cellIs" dxfId="1657" priority="2" operator="between">
      <formula>TODAY()</formula>
      <formula>TODAY()+10</formula>
    </cfRule>
  </conditionalFormatting>
  <dataValidations count="4">
    <dataValidation type="list" allowBlank="1" showInputMessage="1" showErrorMessage="1" sqref="B31 B3 B16:B18">
      <formula1>MATERIALES</formula1>
    </dataValidation>
    <dataValidation type="list" allowBlank="1" showInputMessage="1" showErrorMessage="1" sqref="C14 C42 C29 C58 C31 C3 C16:C18">
      <formula1>PROVEEDORES</formula1>
    </dataValidation>
    <dataValidation type="list" allowBlank="1" showInputMessage="1" showErrorMessage="1" sqref="E14 E42 E29 E31 E58 E44:E47 E3 E16:E18">
      <formula1>PLAZOdePAGO</formula1>
    </dataValidation>
    <dataValidation type="list" allowBlank="1" showInputMessage="1" showErrorMessage="1" sqref="F14 F42 F29 F58 F31 F3 F16:F18">
      <formula1>PLAZOdePAGO2</formula1>
    </dataValidation>
  </dataValidations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>
      <selection activeCell="J12" sqref="J12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x14ac:dyDescent="0.3">
      <c r="A3" s="66" t="s">
        <v>800</v>
      </c>
      <c r="B3" s="1" t="s">
        <v>14</v>
      </c>
      <c r="C3" s="82" t="s">
        <v>7</v>
      </c>
      <c r="D3" s="109"/>
      <c r="E3" s="86" t="s">
        <v>5</v>
      </c>
      <c r="F3" s="85"/>
      <c r="G3" s="7">
        <v>43340</v>
      </c>
      <c r="H3" s="9">
        <v>106.4</v>
      </c>
      <c r="I3" s="84">
        <v>883</v>
      </c>
      <c r="J3" s="84">
        <v>93951.200000000012</v>
      </c>
      <c r="K3" s="87">
        <v>43313</v>
      </c>
      <c r="L3" s="93"/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  <c r="L4" s="108"/>
    </row>
    <row r="5" spans="1:16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</row>
    <row r="8" spans="1:16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  <c r="L11" s="108"/>
    </row>
    <row r="12" spans="1:16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</row>
    <row r="15" spans="1:16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6" x14ac:dyDescent="0.3">
      <c r="A16" s="140" t="s">
        <v>803</v>
      </c>
      <c r="B16" s="27" t="s">
        <v>243</v>
      </c>
      <c r="C16" s="143" t="s">
        <v>46</v>
      </c>
      <c r="D16" s="109" t="s">
        <v>456</v>
      </c>
      <c r="E16" s="5" t="s">
        <v>5</v>
      </c>
      <c r="F16" s="6"/>
      <c r="G16" s="543">
        <v>43341</v>
      </c>
      <c r="H16" s="9">
        <v>6672.25</v>
      </c>
      <c r="I16" s="8">
        <f>273+5</f>
        <v>278</v>
      </c>
      <c r="J16" s="546">
        <v>1350117.55</v>
      </c>
      <c r="K16" s="106"/>
    </row>
    <row r="17" spans="1:12" x14ac:dyDescent="0.3">
      <c r="A17" s="141" t="s">
        <v>804</v>
      </c>
      <c r="B17" s="145" t="s">
        <v>33</v>
      </c>
      <c r="C17" s="143" t="s">
        <v>46</v>
      </c>
      <c r="D17" s="109" t="s">
        <v>456</v>
      </c>
      <c r="E17" s="5" t="s">
        <v>5</v>
      </c>
      <c r="F17" s="6"/>
      <c r="G17" s="544"/>
      <c r="H17" s="9">
        <v>1595.65</v>
      </c>
      <c r="I17" s="8">
        <v>312</v>
      </c>
      <c r="J17" s="547"/>
      <c r="K17" s="106"/>
    </row>
    <row r="18" spans="1:12" x14ac:dyDescent="0.3">
      <c r="A18" s="142" t="s">
        <v>805</v>
      </c>
      <c r="B18" s="144" t="s">
        <v>32</v>
      </c>
      <c r="C18" s="143" t="s">
        <v>46</v>
      </c>
      <c r="D18" s="109" t="s">
        <v>456</v>
      </c>
      <c r="E18" s="5" t="s">
        <v>5</v>
      </c>
      <c r="F18" s="6"/>
      <c r="G18" s="545"/>
      <c r="H18" s="9">
        <v>2749.27</v>
      </c>
      <c r="I18" s="8">
        <v>309</v>
      </c>
      <c r="J18" s="548"/>
      <c r="K18" s="106"/>
    </row>
    <row r="19" spans="1:12" ht="15" customHeight="1" x14ac:dyDescent="0.3">
      <c r="A19" s="531" t="s">
        <v>91</v>
      </c>
      <c r="B19" s="532"/>
      <c r="C19" s="13"/>
      <c r="D19" s="72"/>
      <c r="E19" s="13"/>
      <c r="F19" s="13"/>
      <c r="G19" s="13"/>
      <c r="H19" s="13"/>
      <c r="I19" s="13"/>
      <c r="J19" s="13"/>
      <c r="K19" s="14"/>
      <c r="L19" s="108"/>
    </row>
    <row r="20" spans="1:12" x14ac:dyDescent="0.3">
      <c r="A20" s="49"/>
      <c r="B20" s="17" t="s">
        <v>76</v>
      </c>
      <c r="C20" s="37"/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78</v>
      </c>
      <c r="C21" s="37"/>
      <c r="D21" s="73"/>
      <c r="E21" s="37"/>
      <c r="F21" s="37"/>
      <c r="G21" s="37"/>
      <c r="H21" s="18"/>
      <c r="I21" s="59"/>
      <c r="J21" s="18"/>
      <c r="K21" s="19"/>
    </row>
    <row r="22" spans="1:12" x14ac:dyDescent="0.3">
      <c r="A22" s="49"/>
      <c r="B22" s="56" t="s">
        <v>98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81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ht="15" x14ac:dyDescent="0.25">
      <c r="A24" s="49"/>
      <c r="B24" s="17" t="s">
        <v>169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85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56" t="s">
        <v>461</v>
      </c>
      <c r="C26" s="45"/>
      <c r="D26" s="73"/>
      <c r="E26" s="37"/>
      <c r="F26" s="37"/>
      <c r="G26" s="37"/>
      <c r="H26" s="18"/>
      <c r="I26" s="18"/>
      <c r="J26" s="18"/>
      <c r="K26" s="19"/>
      <c r="L26" s="108"/>
    </row>
    <row r="27" spans="1:12" x14ac:dyDescent="0.3">
      <c r="A27" s="49"/>
      <c r="B27" s="17" t="s">
        <v>81</v>
      </c>
      <c r="C27" s="45"/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85</v>
      </c>
      <c r="C28" s="45"/>
      <c r="D28" s="73"/>
      <c r="E28" s="37"/>
      <c r="F28" s="37"/>
      <c r="G28" s="37"/>
      <c r="H28" s="18"/>
      <c r="I28" s="18"/>
      <c r="J28" s="18"/>
      <c r="K28" s="19"/>
    </row>
    <row r="29" spans="1:12" ht="15" x14ac:dyDescent="0.25">
      <c r="A29" s="50"/>
      <c r="B29" s="21"/>
      <c r="C29" s="111"/>
      <c r="D29" s="74"/>
      <c r="E29" s="38"/>
      <c r="F29" s="38"/>
      <c r="G29" s="38"/>
      <c r="H29" s="22"/>
      <c r="I29" s="22"/>
      <c r="J29" s="22"/>
      <c r="K29" s="23"/>
    </row>
  </sheetData>
  <mergeCells count="5">
    <mergeCell ref="A19:B19"/>
    <mergeCell ref="J16:J18"/>
    <mergeCell ref="G16:G18"/>
    <mergeCell ref="L1:P1"/>
    <mergeCell ref="A4:B4"/>
  </mergeCells>
  <conditionalFormatting sqref="G16 G3">
    <cfRule type="cellIs" dxfId="1656" priority="11" operator="between">
      <formula>TODAY()</formula>
      <formula>TODAY()+10</formula>
    </cfRule>
  </conditionalFormatting>
  <dataValidations count="4">
    <dataValidation type="list" allowBlank="1" showInputMessage="1" showErrorMessage="1" sqref="F14 F29 F3">
      <formula1>PLAZOdePAGO2</formula1>
    </dataValidation>
    <dataValidation type="list" allowBlank="1" showInputMessage="1" showErrorMessage="1" sqref="E14 E29 E16:E18 E3">
      <formula1>PLAZOdePAGO</formula1>
    </dataValidation>
    <dataValidation type="list" allowBlank="1" showInputMessage="1" showErrorMessage="1" sqref="C14 C29 C3">
      <formula1>PROVEEDORES</formula1>
    </dataValidation>
    <dataValidation type="list" allowBlank="1" showInputMessage="1" showErrorMessage="1" sqref="B3">
      <formula1>MATERIALES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F21" sqref="F21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814</v>
      </c>
      <c r="B3" s="1" t="s">
        <v>33</v>
      </c>
      <c r="C3" s="82" t="s">
        <v>277</v>
      </c>
      <c r="D3" s="109" t="s">
        <v>552</v>
      </c>
      <c r="E3" s="86" t="s">
        <v>5</v>
      </c>
      <c r="F3" s="85"/>
      <c r="G3" s="7">
        <v>43353</v>
      </c>
      <c r="H3" s="9">
        <v>2905.65</v>
      </c>
      <c r="I3" s="84">
        <v>305.5</v>
      </c>
      <c r="J3" s="84">
        <f>+I3*H3</f>
        <v>887676.07500000007</v>
      </c>
      <c r="K3" s="87"/>
      <c r="L3" s="93"/>
    </row>
    <row r="4" spans="1:16" ht="15" x14ac:dyDescent="0.25">
      <c r="A4" s="66" t="s">
        <v>815</v>
      </c>
      <c r="B4" s="1" t="s">
        <v>32</v>
      </c>
      <c r="C4" s="82" t="s">
        <v>277</v>
      </c>
      <c r="D4" s="109" t="s">
        <v>552</v>
      </c>
      <c r="E4" s="86" t="s">
        <v>5</v>
      </c>
      <c r="F4" s="85"/>
      <c r="G4" s="7">
        <v>43353</v>
      </c>
      <c r="H4" s="9">
        <v>6835</v>
      </c>
      <c r="I4" s="84">
        <v>295.5</v>
      </c>
      <c r="J4" s="84">
        <f>+I4*H4</f>
        <v>2019742.5</v>
      </c>
      <c r="K4" s="87"/>
      <c r="L4" s="93"/>
    </row>
    <row r="5" spans="1:16" ht="18.75" x14ac:dyDescent="0.25">
      <c r="A5" s="549" t="s">
        <v>91</v>
      </c>
      <c r="B5" s="550"/>
      <c r="C5" s="13"/>
      <c r="D5" s="72"/>
      <c r="E5" s="13"/>
      <c r="F5" s="13"/>
      <c r="G5" s="13"/>
      <c r="H5" s="13"/>
      <c r="I5" s="13"/>
      <c r="J5" s="13"/>
      <c r="K5" s="14"/>
      <c r="L5" s="108"/>
    </row>
    <row r="6" spans="1:16" x14ac:dyDescent="0.3">
      <c r="A6" s="49"/>
      <c r="B6" s="17" t="s">
        <v>76</v>
      </c>
      <c r="C6" s="37"/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37"/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45"/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81</v>
      </c>
      <c r="C9" s="45"/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49"/>
      <c r="B10" s="17" t="s">
        <v>169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461</v>
      </c>
      <c r="C12" s="45"/>
      <c r="D12" s="73"/>
      <c r="E12" s="37"/>
      <c r="F12" s="37"/>
      <c r="G12" s="37"/>
      <c r="H12" s="18"/>
      <c r="I12" s="18"/>
      <c r="J12" s="18"/>
      <c r="K12" s="19"/>
      <c r="L12" s="108"/>
    </row>
    <row r="13" spans="1:16" x14ac:dyDescent="0.3">
      <c r="A13" s="49"/>
      <c r="B13" s="17" t="s">
        <v>81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45"/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</row>
  </sheetData>
  <mergeCells count="2">
    <mergeCell ref="L1:P1"/>
    <mergeCell ref="A5:B5"/>
  </mergeCells>
  <conditionalFormatting sqref="G3:G4">
    <cfRule type="cellIs" dxfId="1655" priority="5" operator="between">
      <formula>TODAY()</formula>
      <formula>TODAY()+10</formula>
    </cfRule>
  </conditionalFormatting>
  <dataValidations count="4">
    <dataValidation type="list" allowBlank="1" showInputMessage="1" showErrorMessage="1" sqref="B3:B4">
      <formula1>MATERIALES</formula1>
    </dataValidation>
    <dataValidation type="list" allowBlank="1" showInputMessage="1" showErrorMessage="1" sqref="C15 C3:C4">
      <formula1>PROVEEDORES</formula1>
    </dataValidation>
    <dataValidation type="list" allowBlank="1" showInputMessage="1" showErrorMessage="1" sqref="E15 E3:E4">
      <formula1>PLAZOdePAGO</formula1>
    </dataValidation>
    <dataValidation type="list" allowBlank="1" showInputMessage="1" showErrorMessage="1" sqref="F15">
      <formula1>PLAZOdePAGO2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showGridLines="0" workbookViewId="0">
      <selection sqref="A1:XFD1048576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842</v>
      </c>
      <c r="B3" s="1" t="s">
        <v>843</v>
      </c>
      <c r="C3" s="82" t="s">
        <v>15</v>
      </c>
      <c r="D3" s="109"/>
      <c r="E3" s="86" t="s">
        <v>5</v>
      </c>
      <c r="F3" s="85"/>
      <c r="G3" s="7">
        <v>43361</v>
      </c>
      <c r="H3" s="9">
        <v>1864.2</v>
      </c>
      <c r="I3" s="84">
        <v>1</v>
      </c>
      <c r="J3" s="84">
        <f>+I3*H3</f>
        <v>1864.2</v>
      </c>
      <c r="K3" s="87"/>
      <c r="L3" s="93"/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15</v>
      </c>
      <c r="D5" s="73"/>
      <c r="E5" s="37"/>
      <c r="F5" s="37"/>
      <c r="G5" s="37"/>
      <c r="H5" s="18"/>
      <c r="I5" s="18"/>
      <c r="J5" s="18"/>
      <c r="K5" s="19"/>
    </row>
    <row r="6" spans="1:16" x14ac:dyDescent="0.3">
      <c r="A6" s="49"/>
      <c r="B6" s="17" t="s">
        <v>78</v>
      </c>
      <c r="C6" s="37" t="s">
        <v>227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56" t="s">
        <v>98</v>
      </c>
      <c r="C7" s="45" t="s">
        <v>761</v>
      </c>
      <c r="D7" s="73"/>
      <c r="E7" s="37"/>
      <c r="F7" s="37"/>
      <c r="G7" s="37"/>
      <c r="H7" s="18"/>
      <c r="I7" s="18"/>
      <c r="J7" s="18"/>
      <c r="K7" s="19"/>
      <c r="L7" s="108"/>
    </row>
    <row r="8" spans="1:16" x14ac:dyDescent="0.3">
      <c r="A8" s="49"/>
      <c r="B8" s="17" t="s">
        <v>81</v>
      </c>
      <c r="C8" s="45">
        <v>8263292948</v>
      </c>
      <c r="D8" s="73"/>
      <c r="E8" s="37"/>
      <c r="F8" s="37"/>
      <c r="G8" s="37"/>
      <c r="H8" s="18"/>
      <c r="I8" s="18"/>
      <c r="J8" s="18"/>
      <c r="K8" s="19"/>
    </row>
    <row r="9" spans="1:16" ht="15" x14ac:dyDescent="0.25">
      <c r="A9" s="49"/>
      <c r="B9" s="17" t="s">
        <v>169</v>
      </c>
      <c r="C9" s="45" t="s">
        <v>762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 t="s">
        <v>171</v>
      </c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56" t="s">
        <v>461</v>
      </c>
      <c r="C11" s="45" t="s">
        <v>763</v>
      </c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17" t="s">
        <v>81</v>
      </c>
      <c r="C12" s="45" t="s">
        <v>174</v>
      </c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85</v>
      </c>
      <c r="C13" s="45" t="s">
        <v>764</v>
      </c>
      <c r="D13" s="73"/>
      <c r="E13" s="37"/>
      <c r="F13" s="37"/>
      <c r="G13" s="37"/>
      <c r="H13" s="18"/>
      <c r="I13" s="18"/>
      <c r="J13" s="18"/>
      <c r="K13" s="19"/>
    </row>
    <row r="14" spans="1:16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</sheetData>
  <mergeCells count="2">
    <mergeCell ref="L1:P1"/>
    <mergeCell ref="A4:B4"/>
  </mergeCells>
  <conditionalFormatting sqref="G3">
    <cfRule type="cellIs" dxfId="1654" priority="1" operator="between">
      <formula>TODAY()</formula>
      <formula>TODAY()+10</formula>
    </cfRule>
  </conditionalFormatting>
  <dataValidations count="3">
    <dataValidation type="list" allowBlank="1" showInputMessage="1" showErrorMessage="1" sqref="F14">
      <formula1>PLAZOdePAGO2</formula1>
    </dataValidation>
    <dataValidation type="list" allowBlank="1" showInputMessage="1" showErrorMessage="1" sqref="E14">
      <formula1>PLAZOdePAGO</formula1>
    </dataValidation>
    <dataValidation type="list" allowBlank="1" showInputMessage="1" showErrorMessage="1" sqref="C14">
      <formula1>PROVEEDORES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showGridLines="0" workbookViewId="0">
      <selection activeCell="E49" sqref="E49"/>
    </sheetView>
  </sheetViews>
  <sheetFormatPr baseColWidth="10" defaultRowHeight="14.4" x14ac:dyDescent="0.3"/>
  <cols>
    <col min="1" max="1" width="12.5546875" bestFit="1" customWidth="1"/>
    <col min="2" max="2" width="23.44140625" customWidth="1"/>
    <col min="5" max="5" width="4.44140625" bestFit="1" customWidth="1"/>
    <col min="6" max="6" width="6.44140625" bestFit="1" customWidth="1"/>
    <col min="11" max="11" width="18" customWidth="1"/>
  </cols>
  <sheetData>
    <row r="1" spans="1:15" s="10" customFormat="1" x14ac:dyDescent="0.3">
      <c r="A1" s="48" t="s">
        <v>147</v>
      </c>
      <c r="B1" s="1" t="s">
        <v>14</v>
      </c>
      <c r="C1" s="3" t="s">
        <v>7</v>
      </c>
      <c r="D1" s="41" t="s">
        <v>181</v>
      </c>
      <c r="E1" s="5" t="s">
        <v>5</v>
      </c>
      <c r="F1" s="6"/>
      <c r="G1" s="7">
        <v>42940</v>
      </c>
      <c r="H1" s="9">
        <v>76.95</v>
      </c>
      <c r="I1" s="8">
        <v>858</v>
      </c>
      <c r="J1" s="8">
        <v>66023.100000000006</v>
      </c>
      <c r="K1" s="53">
        <v>42930</v>
      </c>
      <c r="L1" s="42"/>
      <c r="M1" s="43"/>
      <c r="N1" s="43"/>
      <c r="O1" s="43"/>
    </row>
    <row r="2" spans="1:15" s="10" customFormat="1" x14ac:dyDescent="0.3">
      <c r="A2" s="48" t="s">
        <v>148</v>
      </c>
      <c r="B2" s="1" t="s">
        <v>14</v>
      </c>
      <c r="C2" s="3" t="s">
        <v>7</v>
      </c>
      <c r="D2" s="41" t="s">
        <v>182</v>
      </c>
      <c r="E2" s="5" t="s">
        <v>5</v>
      </c>
      <c r="F2" s="6"/>
      <c r="G2" s="7">
        <v>42940</v>
      </c>
      <c r="H2" s="9">
        <v>128.5</v>
      </c>
      <c r="I2" s="8">
        <v>863</v>
      </c>
      <c r="J2" s="8">
        <v>110895.5</v>
      </c>
      <c r="K2" s="53">
        <v>42930</v>
      </c>
      <c r="L2" s="37"/>
      <c r="M2" s="43"/>
      <c r="N2" s="43"/>
      <c r="O2" s="43"/>
    </row>
    <row r="3" spans="1:15" s="10" customFormat="1" ht="18.75" x14ac:dyDescent="0.3">
      <c r="A3" s="531" t="s">
        <v>91</v>
      </c>
      <c r="B3" s="532"/>
      <c r="C3" s="13"/>
      <c r="D3" s="13"/>
      <c r="E3" s="13"/>
      <c r="F3" s="13"/>
      <c r="G3" s="13"/>
      <c r="H3" s="13"/>
      <c r="I3" s="13"/>
      <c r="J3" s="13"/>
      <c r="K3" s="14"/>
    </row>
    <row r="4" spans="1:15" s="10" customFormat="1" ht="13.35" customHeight="1" x14ac:dyDescent="0.3">
      <c r="A4" s="49"/>
      <c r="B4" s="17" t="s">
        <v>76</v>
      </c>
      <c r="C4" s="37" t="s">
        <v>92</v>
      </c>
      <c r="D4" s="37"/>
      <c r="E4" s="37"/>
      <c r="F4" s="37"/>
      <c r="G4" s="37"/>
      <c r="H4" s="18"/>
      <c r="I4" s="18"/>
      <c r="J4" s="18"/>
      <c r="K4" s="19"/>
    </row>
    <row r="5" spans="1:15" s="10" customFormat="1" ht="13.35" customHeight="1" x14ac:dyDescent="0.3">
      <c r="A5" s="49"/>
      <c r="B5" s="17" t="s">
        <v>78</v>
      </c>
      <c r="C5" s="37" t="s">
        <v>94</v>
      </c>
      <c r="D5" s="37"/>
      <c r="E5" s="37"/>
      <c r="F5" s="37"/>
      <c r="G5" s="37"/>
      <c r="H5" s="18"/>
      <c r="I5" s="18"/>
      <c r="J5" s="18"/>
      <c r="K5" s="19"/>
    </row>
    <row r="6" spans="1:15" s="10" customFormat="1" ht="13.35" customHeight="1" x14ac:dyDescent="0.3">
      <c r="A6" s="49"/>
      <c r="B6" s="56" t="s">
        <v>98</v>
      </c>
      <c r="C6" s="17" t="s">
        <v>175</v>
      </c>
      <c r="D6" s="37"/>
      <c r="E6" s="37"/>
      <c r="F6" s="37"/>
      <c r="G6" s="37"/>
      <c r="H6" s="18"/>
      <c r="I6" s="18"/>
      <c r="J6" s="18"/>
      <c r="K6" s="19"/>
    </row>
    <row r="7" spans="1:15" s="10" customFormat="1" ht="13.35" customHeight="1" x14ac:dyDescent="0.3">
      <c r="A7" s="49"/>
      <c r="B7" s="17" t="s">
        <v>83</v>
      </c>
      <c r="C7" s="45" t="s">
        <v>176</v>
      </c>
      <c r="D7" s="37"/>
      <c r="E7" s="37"/>
      <c r="F7" s="37"/>
      <c r="G7" s="37"/>
      <c r="H7" s="18"/>
      <c r="I7" s="18"/>
      <c r="J7" s="18"/>
      <c r="K7" s="19"/>
    </row>
    <row r="8" spans="1:15" s="10" customFormat="1" ht="13.35" customHeight="1" x14ac:dyDescent="0.3">
      <c r="A8" s="49"/>
      <c r="B8" s="17" t="s">
        <v>81</v>
      </c>
      <c r="C8" s="45">
        <v>163838186</v>
      </c>
      <c r="D8" s="37"/>
      <c r="E8" s="37"/>
      <c r="F8" s="37"/>
      <c r="G8" s="37"/>
      <c r="H8" s="18"/>
      <c r="I8" s="18"/>
      <c r="J8" s="18"/>
      <c r="K8" s="19"/>
    </row>
    <row r="9" spans="1:15" s="10" customFormat="1" ht="13.35" customHeight="1" x14ac:dyDescent="0.25">
      <c r="A9" s="49"/>
      <c r="B9" s="17" t="s">
        <v>169</v>
      </c>
      <c r="C9" s="45" t="s">
        <v>177</v>
      </c>
      <c r="D9" s="37"/>
      <c r="E9" s="37"/>
      <c r="F9" s="37"/>
      <c r="G9" s="37"/>
      <c r="H9" s="18"/>
      <c r="I9" s="18"/>
      <c r="J9" s="18"/>
      <c r="K9" s="19"/>
    </row>
    <row r="10" spans="1:15" s="10" customFormat="1" ht="13.35" customHeight="1" x14ac:dyDescent="0.3">
      <c r="A10" s="49"/>
      <c r="B10" s="17" t="s">
        <v>85</v>
      </c>
      <c r="C10" s="45" t="s">
        <v>115</v>
      </c>
      <c r="D10" s="37"/>
      <c r="E10" s="37"/>
      <c r="F10" s="37"/>
      <c r="G10" s="37"/>
      <c r="H10" s="18"/>
      <c r="I10" s="18"/>
      <c r="J10" s="18"/>
      <c r="K10" s="19"/>
    </row>
    <row r="11" spans="1:15" s="10" customFormat="1" ht="13.35" customHeight="1" x14ac:dyDescent="0.3">
      <c r="A11" s="49"/>
      <c r="B11" s="56" t="s">
        <v>165</v>
      </c>
      <c r="C11" s="45" t="s">
        <v>178</v>
      </c>
      <c r="D11" s="37"/>
      <c r="E11" s="37"/>
      <c r="F11" s="37"/>
      <c r="G11" s="37"/>
      <c r="H11" s="18"/>
      <c r="I11" s="18"/>
      <c r="J11" s="18"/>
      <c r="K11" s="19"/>
    </row>
    <row r="12" spans="1:15" s="10" customFormat="1" ht="13.35" customHeight="1" x14ac:dyDescent="0.3">
      <c r="A12" s="49"/>
      <c r="B12" s="17" t="s">
        <v>85</v>
      </c>
      <c r="C12" s="45" t="s">
        <v>120</v>
      </c>
      <c r="D12" s="37"/>
      <c r="E12" s="37"/>
      <c r="F12" s="37"/>
      <c r="G12" s="37"/>
      <c r="H12" s="18"/>
      <c r="I12" s="18"/>
      <c r="J12" s="18"/>
      <c r="K12" s="19"/>
    </row>
    <row r="13" spans="1:15" s="10" customFormat="1" ht="13.35" customHeight="1" x14ac:dyDescent="0.25">
      <c r="A13" s="5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5" s="10" customFormat="1" ht="7.5" customHeight="1" x14ac:dyDescent="0.25">
      <c r="A14" s="47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5" s="10" customFormat="1" x14ac:dyDescent="0.3">
      <c r="A15" s="48" t="s">
        <v>133</v>
      </c>
      <c r="B15" s="1" t="s">
        <v>6</v>
      </c>
      <c r="C15" s="3" t="s">
        <v>7</v>
      </c>
      <c r="D15" s="41" t="s">
        <v>149</v>
      </c>
      <c r="E15" s="5">
        <v>90</v>
      </c>
      <c r="F15" s="6" t="s">
        <v>20</v>
      </c>
      <c r="G15" s="7">
        <v>42941</v>
      </c>
      <c r="H15" s="9">
        <v>350</v>
      </c>
      <c r="I15" s="8">
        <v>505</v>
      </c>
      <c r="J15" s="8">
        <v>176750</v>
      </c>
      <c r="K15" s="53">
        <v>42851</v>
      </c>
    </row>
    <row r="16" spans="1:15" s="10" customFormat="1" x14ac:dyDescent="0.3">
      <c r="A16" s="48" t="s">
        <v>134</v>
      </c>
      <c r="B16" s="1" t="s">
        <v>6</v>
      </c>
      <c r="C16" s="3" t="s">
        <v>7</v>
      </c>
      <c r="D16" s="41" t="s">
        <v>150</v>
      </c>
      <c r="E16" s="5">
        <v>90</v>
      </c>
      <c r="F16" s="6" t="s">
        <v>20</v>
      </c>
      <c r="G16" s="7">
        <v>42941</v>
      </c>
      <c r="H16" s="9">
        <v>100</v>
      </c>
      <c r="I16" s="8">
        <v>500</v>
      </c>
      <c r="J16" s="8">
        <v>50000</v>
      </c>
      <c r="K16" s="53">
        <v>42851</v>
      </c>
    </row>
    <row r="17" spans="1:11" s="10" customFormat="1" ht="18.75" x14ac:dyDescent="0.3">
      <c r="A17" s="531" t="s">
        <v>91</v>
      </c>
      <c r="B17" s="532"/>
      <c r="C17" s="13"/>
      <c r="D17" s="13"/>
      <c r="E17" s="13"/>
      <c r="F17" s="13"/>
      <c r="G17" s="13"/>
      <c r="H17" s="13"/>
      <c r="I17" s="13"/>
      <c r="J17" s="13"/>
      <c r="K17" s="14"/>
    </row>
    <row r="18" spans="1:11" s="10" customFormat="1" ht="13.35" customHeight="1" x14ac:dyDescent="0.3">
      <c r="A18" s="49"/>
      <c r="B18" s="17" t="s">
        <v>76</v>
      </c>
      <c r="C18" s="37" t="s">
        <v>92</v>
      </c>
      <c r="D18" s="37"/>
      <c r="E18" s="37"/>
      <c r="F18" s="37"/>
      <c r="G18" s="37"/>
      <c r="H18" s="18"/>
      <c r="I18" s="18"/>
      <c r="J18" s="18"/>
      <c r="K18" s="19"/>
    </row>
    <row r="19" spans="1:11" s="10" customFormat="1" ht="13.35" customHeight="1" x14ac:dyDescent="0.3">
      <c r="A19" s="49"/>
      <c r="B19" s="17" t="s">
        <v>78</v>
      </c>
      <c r="C19" s="37" t="s">
        <v>94</v>
      </c>
      <c r="D19" s="37"/>
      <c r="E19" s="37"/>
      <c r="F19" s="37"/>
      <c r="G19" s="37"/>
      <c r="H19" s="18"/>
      <c r="I19" s="18"/>
      <c r="J19" s="18"/>
      <c r="K19" s="19"/>
    </row>
    <row r="20" spans="1:11" s="10" customFormat="1" ht="13.35" customHeight="1" x14ac:dyDescent="0.3">
      <c r="A20" s="49"/>
      <c r="B20" s="56" t="s">
        <v>98</v>
      </c>
      <c r="C20" s="45" t="s">
        <v>167</v>
      </c>
      <c r="D20" s="37"/>
      <c r="E20" s="37"/>
      <c r="F20" s="37"/>
      <c r="G20" s="37"/>
      <c r="H20" s="18"/>
      <c r="I20" s="18"/>
      <c r="J20" s="18"/>
      <c r="K20" s="19"/>
    </row>
    <row r="21" spans="1:11" s="10" customFormat="1" ht="13.35" customHeight="1" x14ac:dyDescent="0.3">
      <c r="A21" s="49"/>
      <c r="B21" s="17" t="s">
        <v>83</v>
      </c>
      <c r="C21" s="45" t="s">
        <v>168</v>
      </c>
      <c r="D21" s="37"/>
      <c r="E21" s="37"/>
      <c r="F21" s="37"/>
      <c r="G21" s="37"/>
      <c r="H21" s="18"/>
      <c r="I21" s="18"/>
      <c r="J21" s="18"/>
      <c r="K21" s="19"/>
    </row>
    <row r="22" spans="1:11" s="10" customFormat="1" ht="13.35" customHeight="1" x14ac:dyDescent="0.3">
      <c r="A22" s="49"/>
      <c r="B22" s="17" t="s">
        <v>81</v>
      </c>
      <c r="C22" s="17">
        <v>8263131847</v>
      </c>
      <c r="D22" s="37"/>
      <c r="E22" s="37"/>
      <c r="F22" s="37"/>
      <c r="G22" s="37"/>
      <c r="H22" s="18"/>
      <c r="I22" s="18"/>
      <c r="J22" s="18"/>
      <c r="K22" s="19"/>
    </row>
    <row r="23" spans="1:11" s="10" customFormat="1" ht="13.35" customHeight="1" x14ac:dyDescent="0.25">
      <c r="A23" s="49"/>
      <c r="B23" s="17" t="s">
        <v>169</v>
      </c>
      <c r="C23" s="45" t="s">
        <v>170</v>
      </c>
      <c r="D23" s="37"/>
      <c r="E23" s="37"/>
      <c r="F23" s="37"/>
      <c r="G23" s="37"/>
      <c r="H23" s="18"/>
      <c r="I23" s="18"/>
      <c r="J23" s="18"/>
      <c r="K23" s="19"/>
    </row>
    <row r="24" spans="1:11" s="10" customFormat="1" ht="13.35" customHeight="1" x14ac:dyDescent="0.3">
      <c r="A24" s="49"/>
      <c r="B24" s="17" t="s">
        <v>85</v>
      </c>
      <c r="C24" s="44" t="s">
        <v>171</v>
      </c>
      <c r="D24" s="37"/>
      <c r="E24" s="37"/>
      <c r="F24" s="37"/>
      <c r="G24" s="37"/>
      <c r="H24" s="18"/>
      <c r="I24" s="18"/>
      <c r="J24" s="18"/>
      <c r="K24" s="19"/>
    </row>
    <row r="25" spans="1:11" s="10" customFormat="1" ht="13.35" customHeight="1" x14ac:dyDescent="0.3">
      <c r="A25" s="49"/>
      <c r="B25" s="56" t="s">
        <v>165</v>
      </c>
      <c r="C25" s="45" t="s">
        <v>172</v>
      </c>
      <c r="D25" s="37"/>
      <c r="E25" s="37"/>
      <c r="F25" s="37"/>
      <c r="G25" s="37"/>
      <c r="H25" s="18"/>
      <c r="I25" s="18"/>
      <c r="J25" s="18"/>
      <c r="K25" s="19"/>
    </row>
    <row r="26" spans="1:11" s="10" customFormat="1" ht="13.35" customHeight="1" x14ac:dyDescent="0.3">
      <c r="A26" s="49"/>
      <c r="B26" s="17" t="s">
        <v>81</v>
      </c>
      <c r="C26" s="17" t="s">
        <v>174</v>
      </c>
      <c r="D26" s="37"/>
      <c r="E26" s="37"/>
      <c r="F26" s="37"/>
      <c r="G26" s="37"/>
      <c r="H26" s="18"/>
      <c r="I26" s="18"/>
      <c r="J26" s="18"/>
      <c r="K26" s="19"/>
    </row>
    <row r="27" spans="1:11" s="10" customFormat="1" ht="13.35" customHeight="1" x14ac:dyDescent="0.3">
      <c r="A27" s="49"/>
      <c r="B27" s="17" t="s">
        <v>85</v>
      </c>
      <c r="C27" s="45" t="s">
        <v>173</v>
      </c>
      <c r="D27" s="37"/>
      <c r="E27" s="37"/>
      <c r="F27" s="37"/>
      <c r="G27" s="37"/>
      <c r="H27" s="18"/>
      <c r="I27" s="18"/>
      <c r="J27" s="18"/>
      <c r="K27" s="19"/>
    </row>
    <row r="28" spans="1:11" s="10" customFormat="1" ht="13.35" customHeight="1" x14ac:dyDescent="0.25">
      <c r="A28" s="5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 s="10" customFormat="1" ht="7.5" customHeight="1" x14ac:dyDescent="0.25">
      <c r="A29" s="47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48" t="s">
        <v>53</v>
      </c>
      <c r="B30" s="1" t="s">
        <v>12</v>
      </c>
      <c r="C30" s="3" t="s">
        <v>16</v>
      </c>
      <c r="D30" s="41">
        <v>17020218</v>
      </c>
      <c r="E30" s="5">
        <v>30</v>
      </c>
      <c r="F30" s="6" t="s">
        <v>20</v>
      </c>
      <c r="G30" s="7">
        <v>42947</v>
      </c>
      <c r="H30" s="9">
        <v>400</v>
      </c>
      <c r="I30" s="8">
        <v>135</v>
      </c>
      <c r="J30" s="8">
        <v>54000</v>
      </c>
      <c r="K30" s="53">
        <v>42902</v>
      </c>
    </row>
    <row r="31" spans="1:11" s="10" customFormat="1" ht="18.75" x14ac:dyDescent="0.3">
      <c r="A31" s="531" t="s">
        <v>91</v>
      </c>
      <c r="B31" s="532"/>
      <c r="C31" s="13"/>
      <c r="D31" s="13"/>
      <c r="E31" s="13"/>
      <c r="F31" s="13"/>
      <c r="G31" s="13"/>
      <c r="H31" s="13"/>
      <c r="I31" s="13"/>
      <c r="J31" s="13"/>
      <c r="K31" s="14"/>
    </row>
    <row r="32" spans="1:11" s="10" customFormat="1" ht="13.35" customHeight="1" x14ac:dyDescent="0.3">
      <c r="A32" s="49"/>
      <c r="B32" s="17" t="s">
        <v>76</v>
      </c>
      <c r="C32" s="37" t="s">
        <v>183</v>
      </c>
      <c r="D32" s="37"/>
      <c r="E32" s="37"/>
      <c r="F32" s="37"/>
      <c r="G32" s="37"/>
      <c r="H32" s="18"/>
      <c r="I32" s="18"/>
      <c r="J32" s="18"/>
      <c r="K32" s="19"/>
    </row>
    <row r="33" spans="1:11" s="10" customFormat="1" ht="13.35" customHeight="1" x14ac:dyDescent="0.3">
      <c r="A33" s="49"/>
      <c r="B33" s="17" t="s">
        <v>78</v>
      </c>
      <c r="C33" s="37" t="s">
        <v>184</v>
      </c>
      <c r="D33" s="37"/>
      <c r="E33" s="37"/>
      <c r="F33" s="37"/>
      <c r="G33" s="37"/>
      <c r="H33" s="18"/>
      <c r="I33" s="18"/>
      <c r="J33" s="18"/>
      <c r="K33" s="19"/>
    </row>
    <row r="34" spans="1:11" s="10" customFormat="1" ht="13.35" customHeight="1" x14ac:dyDescent="0.3">
      <c r="A34" s="49"/>
      <c r="B34" s="56" t="s">
        <v>98</v>
      </c>
      <c r="C34" s="17" t="s">
        <v>185</v>
      </c>
      <c r="D34" s="37"/>
      <c r="E34" s="37"/>
      <c r="F34" s="37"/>
      <c r="G34" s="37"/>
      <c r="H34" s="18"/>
      <c r="I34" s="18"/>
      <c r="J34" s="18"/>
      <c r="K34" s="19"/>
    </row>
    <row r="35" spans="1:11" s="10" customFormat="1" ht="13.35" customHeight="1" x14ac:dyDescent="0.3">
      <c r="A35" s="49"/>
      <c r="B35" s="17" t="s">
        <v>83</v>
      </c>
      <c r="C35" s="45" t="s">
        <v>186</v>
      </c>
      <c r="D35" s="37"/>
      <c r="E35" s="37"/>
      <c r="F35" s="37"/>
      <c r="G35" s="37"/>
      <c r="H35" s="18"/>
      <c r="I35" s="18"/>
      <c r="J35" s="18"/>
      <c r="K35" s="19"/>
    </row>
    <row r="36" spans="1:11" s="10" customFormat="1" ht="13.35" customHeight="1" x14ac:dyDescent="0.3">
      <c r="A36" s="49"/>
      <c r="B36" s="17" t="s">
        <v>81</v>
      </c>
      <c r="C36" s="58" t="s">
        <v>191</v>
      </c>
      <c r="D36" s="37"/>
      <c r="E36" s="37"/>
      <c r="F36" s="37"/>
      <c r="G36" s="37"/>
      <c r="H36" s="18"/>
      <c r="I36" s="18"/>
      <c r="J36" s="18"/>
      <c r="K36" s="19"/>
    </row>
    <row r="37" spans="1:11" s="10" customFormat="1" ht="13.35" customHeight="1" x14ac:dyDescent="0.3">
      <c r="A37" s="49"/>
      <c r="B37" s="17" t="s">
        <v>85</v>
      </c>
      <c r="C37" s="45" t="s">
        <v>188</v>
      </c>
      <c r="D37" s="37"/>
      <c r="E37" s="37"/>
      <c r="F37" s="37"/>
      <c r="G37" s="37"/>
      <c r="H37" s="18"/>
      <c r="I37" s="18"/>
      <c r="J37" s="18"/>
      <c r="K37" s="19"/>
    </row>
    <row r="38" spans="1:11" s="10" customFormat="1" ht="13.35" customHeight="1" x14ac:dyDescent="0.3">
      <c r="A38" s="49"/>
      <c r="B38" s="56" t="s">
        <v>165</v>
      </c>
      <c r="C38" s="45" t="s">
        <v>190</v>
      </c>
      <c r="D38" s="37"/>
      <c r="E38" s="37"/>
      <c r="F38" s="37"/>
      <c r="G38" s="37"/>
      <c r="H38" s="18"/>
      <c r="I38" s="18"/>
      <c r="J38" s="18"/>
      <c r="K38" s="19"/>
    </row>
    <row r="39" spans="1:11" s="10" customFormat="1" ht="13.35" customHeight="1" x14ac:dyDescent="0.3">
      <c r="A39" s="49"/>
      <c r="B39" s="17" t="s">
        <v>81</v>
      </c>
      <c r="C39" s="58" t="s">
        <v>187</v>
      </c>
      <c r="D39" s="37"/>
      <c r="E39" s="37"/>
      <c r="F39" s="37"/>
      <c r="G39" s="37"/>
      <c r="H39" s="18"/>
      <c r="I39" s="18"/>
      <c r="J39" s="18"/>
      <c r="K39" s="19"/>
    </row>
    <row r="40" spans="1:11" s="10" customFormat="1" ht="13.35" customHeight="1" x14ac:dyDescent="0.3">
      <c r="A40" s="49"/>
      <c r="B40" s="17" t="s">
        <v>85</v>
      </c>
      <c r="C40" s="45" t="s">
        <v>189</v>
      </c>
      <c r="D40" s="37"/>
      <c r="E40" s="37"/>
      <c r="F40" s="37"/>
      <c r="G40" s="37"/>
      <c r="H40" s="18"/>
      <c r="I40" s="18"/>
      <c r="J40" s="18"/>
      <c r="K40" s="19"/>
    </row>
    <row r="41" spans="1:11" s="10" customFormat="1" ht="13.35" customHeight="1" x14ac:dyDescent="0.3">
      <c r="A41" s="50"/>
      <c r="B41" s="21"/>
      <c r="C41" s="21"/>
      <c r="D41" s="21"/>
      <c r="E41" s="21"/>
      <c r="F41" s="21"/>
      <c r="G41" s="21"/>
      <c r="H41" s="22"/>
      <c r="I41" s="22"/>
      <c r="J41" s="22"/>
      <c r="K41" s="23"/>
    </row>
  </sheetData>
  <mergeCells count="3">
    <mergeCell ref="A3:B3"/>
    <mergeCell ref="A31:B31"/>
    <mergeCell ref="A17:B17"/>
  </mergeCells>
  <conditionalFormatting sqref="G1">
    <cfRule type="cellIs" dxfId="1880" priority="10" operator="between">
      <formula>TODAY()</formula>
      <formula>TODAY()+10</formula>
    </cfRule>
  </conditionalFormatting>
  <conditionalFormatting sqref="G1">
    <cfRule type="cellIs" dxfId="1879" priority="9" operator="between">
      <formula>TODAY()</formula>
      <formula>TODAY()+10</formula>
    </cfRule>
  </conditionalFormatting>
  <conditionalFormatting sqref="G2">
    <cfRule type="cellIs" dxfId="1878" priority="8" operator="between">
      <formula>TODAY()</formula>
      <formula>TODAY()+10</formula>
    </cfRule>
  </conditionalFormatting>
  <conditionalFormatting sqref="G2">
    <cfRule type="cellIs" dxfId="1877" priority="7" operator="between">
      <formula>TODAY()</formula>
      <formula>TODAY()+10</formula>
    </cfRule>
  </conditionalFormatting>
  <conditionalFormatting sqref="G30">
    <cfRule type="cellIs" dxfId="1876" priority="6" operator="between">
      <formula>TODAY()</formula>
      <formula>TODAY()+10</formula>
    </cfRule>
  </conditionalFormatting>
  <conditionalFormatting sqref="G30">
    <cfRule type="cellIs" dxfId="1875" priority="5" operator="between">
      <formula>TODAY()</formula>
      <formula>TODAY()+10</formula>
    </cfRule>
  </conditionalFormatting>
  <conditionalFormatting sqref="G15">
    <cfRule type="cellIs" dxfId="1874" priority="4" operator="between">
      <formula>TODAY()</formula>
      <formula>TODAY()+10</formula>
    </cfRule>
  </conditionalFormatting>
  <conditionalFormatting sqref="G15">
    <cfRule type="cellIs" dxfId="1873" priority="3" operator="between">
      <formula>TODAY()</formula>
      <formula>TODAY()+10</formula>
    </cfRule>
  </conditionalFormatting>
  <conditionalFormatting sqref="G16">
    <cfRule type="cellIs" dxfId="1872" priority="2" operator="between">
      <formula>TODAY()</formula>
      <formula>TODAY()+10</formula>
    </cfRule>
  </conditionalFormatting>
  <conditionalFormatting sqref="G16">
    <cfRule type="cellIs" dxfId="1871" priority="1" operator="between">
      <formula>TODAY()</formula>
      <formula>TODAY()+10</formula>
    </cfRule>
  </conditionalFormatting>
  <dataValidations count="1">
    <dataValidation type="list" allowBlank="1" showInputMessage="1" showErrorMessage="1" sqref="E1:E2 E30 E15:E16">
      <formula1>PLAZOdePAGO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showGridLines="0" workbookViewId="0">
      <selection sqref="A1:K1"/>
    </sheetView>
  </sheetViews>
  <sheetFormatPr baseColWidth="10" defaultColWidth="11.44140625" defaultRowHeight="14.4" x14ac:dyDescent="0.3"/>
  <cols>
    <col min="1" max="1" width="11.44140625" style="10"/>
    <col min="2" max="2" width="22.44140625" style="10" customWidth="1"/>
    <col min="3" max="3" width="15.5546875" style="10" customWidth="1"/>
    <col min="4" max="4" width="11.44140625" style="10"/>
    <col min="5" max="5" width="7.44140625" style="10" customWidth="1"/>
    <col min="6" max="6" width="7.5546875" style="10" customWidth="1"/>
    <col min="7" max="7" width="18.44140625" style="10" bestFit="1" customWidth="1"/>
    <col min="8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x14ac:dyDescent="0.25">
      <c r="A3" s="66" t="s">
        <v>871</v>
      </c>
      <c r="B3" s="1" t="s">
        <v>6</v>
      </c>
      <c r="C3" s="82" t="s">
        <v>17</v>
      </c>
      <c r="D3" s="109"/>
      <c r="E3" s="86" t="s">
        <v>5</v>
      </c>
      <c r="F3" s="85"/>
      <c r="G3" s="7">
        <v>43367</v>
      </c>
      <c r="H3" s="9">
        <v>275</v>
      </c>
      <c r="I3" s="84">
        <v>505</v>
      </c>
      <c r="J3" s="84">
        <v>111100</v>
      </c>
      <c r="K3" s="87"/>
      <c r="L3" s="93" t="s">
        <v>406</v>
      </c>
    </row>
    <row r="4" spans="1:16" ht="15" x14ac:dyDescent="0.25">
      <c r="A4" s="66" t="s">
        <v>872</v>
      </c>
      <c r="B4" s="1" t="s">
        <v>6</v>
      </c>
      <c r="C4" s="82" t="s">
        <v>17</v>
      </c>
      <c r="D4" s="109"/>
      <c r="E4" s="86" t="s">
        <v>5</v>
      </c>
      <c r="F4" s="85"/>
      <c r="G4" s="7">
        <v>43370</v>
      </c>
      <c r="H4" s="9">
        <v>100</v>
      </c>
      <c r="I4" s="84">
        <v>505</v>
      </c>
      <c r="J4" s="84">
        <v>40400</v>
      </c>
      <c r="K4" s="87"/>
      <c r="L4" s="93" t="s">
        <v>110</v>
      </c>
    </row>
    <row r="5" spans="1:16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6" x14ac:dyDescent="0.3">
      <c r="A6" s="49"/>
      <c r="B6" s="17" t="s">
        <v>76</v>
      </c>
      <c r="C6" s="37"/>
      <c r="D6" s="73"/>
      <c r="E6" s="37"/>
      <c r="F6" s="37"/>
      <c r="G6" s="37"/>
      <c r="H6" s="18"/>
      <c r="I6" s="18"/>
      <c r="J6" s="18"/>
      <c r="K6" s="19"/>
    </row>
    <row r="7" spans="1:16" x14ac:dyDescent="0.3">
      <c r="A7" s="49"/>
      <c r="B7" s="17" t="s">
        <v>78</v>
      </c>
      <c r="C7" s="37"/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45"/>
      <c r="D8" s="73"/>
      <c r="E8" s="37"/>
      <c r="F8" s="37"/>
      <c r="G8" s="37"/>
      <c r="H8" s="18"/>
      <c r="I8" s="18"/>
      <c r="J8" s="18"/>
      <c r="K8" s="19"/>
      <c r="L8" s="108"/>
    </row>
    <row r="9" spans="1:16" x14ac:dyDescent="0.3">
      <c r="A9" s="49"/>
      <c r="B9" s="17" t="s">
        <v>81</v>
      </c>
      <c r="C9" s="45"/>
      <c r="D9" s="73"/>
      <c r="E9" s="37"/>
      <c r="F9" s="37"/>
      <c r="G9" s="37"/>
      <c r="H9" s="18"/>
      <c r="I9" s="18"/>
      <c r="J9" s="18"/>
      <c r="K9" s="19"/>
    </row>
    <row r="10" spans="1:16" ht="15" x14ac:dyDescent="0.25">
      <c r="A10" s="49"/>
      <c r="B10" s="17" t="s">
        <v>169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6" x14ac:dyDescent="0.3">
      <c r="A11" s="49"/>
      <c r="B11" s="17" t="s">
        <v>85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6" x14ac:dyDescent="0.3">
      <c r="A12" s="49"/>
      <c r="B12" s="56" t="s">
        <v>461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6" x14ac:dyDescent="0.3">
      <c r="A13" s="49"/>
      <c r="B13" s="17" t="s">
        <v>81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6" x14ac:dyDescent="0.3">
      <c r="A14" s="49"/>
      <c r="B14" s="17" t="s">
        <v>85</v>
      </c>
      <c r="C14" s="45"/>
      <c r="D14" s="73"/>
      <c r="E14" s="37"/>
      <c r="F14" s="37"/>
      <c r="G14" s="37"/>
      <c r="H14" s="18"/>
      <c r="I14" s="18"/>
      <c r="J14" s="18"/>
      <c r="K14" s="19"/>
    </row>
    <row r="15" spans="1:16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  <c r="L15" s="108"/>
    </row>
    <row r="16" spans="1:16" ht="3.75" customHeight="1" x14ac:dyDescent="0.25">
      <c r="A16" s="47"/>
      <c r="B16" s="24"/>
      <c r="C16" s="24"/>
      <c r="D16" s="71"/>
      <c r="E16" s="24"/>
      <c r="F16" s="24"/>
      <c r="G16" s="24"/>
      <c r="H16" s="24"/>
      <c r="I16" s="24"/>
      <c r="J16" s="24"/>
      <c r="K16" s="24"/>
    </row>
    <row r="17" spans="1:12" ht="15" x14ac:dyDescent="0.25">
      <c r="A17" s="66" t="s">
        <v>787</v>
      </c>
      <c r="B17" s="1" t="s">
        <v>790</v>
      </c>
      <c r="C17" s="82" t="s">
        <v>15</v>
      </c>
      <c r="D17" s="109"/>
      <c r="E17" s="86" t="s">
        <v>5</v>
      </c>
      <c r="F17" s="85"/>
      <c r="G17" s="7">
        <v>43371</v>
      </c>
      <c r="H17" s="9">
        <v>50</v>
      </c>
      <c r="I17" s="84">
        <v>375</v>
      </c>
      <c r="J17" s="84">
        <v>18750</v>
      </c>
      <c r="K17" s="87">
        <v>43367</v>
      </c>
      <c r="L17" s="93" t="s">
        <v>406</v>
      </c>
    </row>
    <row r="18" spans="1:12" ht="18.75" x14ac:dyDescent="0.3">
      <c r="A18" s="531" t="s">
        <v>91</v>
      </c>
      <c r="B18" s="532"/>
      <c r="C18" s="13"/>
      <c r="D18" s="72"/>
      <c r="E18" s="13"/>
      <c r="F18" s="13"/>
      <c r="G18" s="13"/>
      <c r="H18" s="13"/>
      <c r="I18" s="13"/>
      <c r="J18" s="13"/>
      <c r="K18" s="14"/>
    </row>
    <row r="19" spans="1:12" x14ac:dyDescent="0.3">
      <c r="A19" s="49"/>
      <c r="B19" s="17" t="s">
        <v>76</v>
      </c>
      <c r="C19" s="37" t="s">
        <v>15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78</v>
      </c>
      <c r="C20" s="37" t="s">
        <v>227</v>
      </c>
      <c r="D20" s="73"/>
      <c r="E20" s="37"/>
      <c r="F20" s="37"/>
      <c r="G20" s="37"/>
      <c r="H20" s="18"/>
      <c r="I20" s="59"/>
      <c r="J20" s="18"/>
      <c r="K20" s="19"/>
    </row>
    <row r="21" spans="1:12" x14ac:dyDescent="0.3">
      <c r="A21" s="49"/>
      <c r="B21" s="56" t="s">
        <v>98</v>
      </c>
      <c r="C21" s="45" t="s">
        <v>761</v>
      </c>
      <c r="D21" s="73"/>
      <c r="E21" s="37"/>
      <c r="F21" s="37"/>
      <c r="G21" s="37"/>
      <c r="H21" s="18"/>
      <c r="I21" s="18"/>
      <c r="J21" s="18"/>
      <c r="K21" s="19"/>
      <c r="L21" s="108"/>
    </row>
    <row r="22" spans="1:12" x14ac:dyDescent="0.3">
      <c r="A22" s="49"/>
      <c r="B22" s="17" t="s">
        <v>81</v>
      </c>
      <c r="C22" s="45">
        <v>8263292948</v>
      </c>
      <c r="D22" s="73"/>
      <c r="E22" s="37"/>
      <c r="F22" s="37"/>
      <c r="G22" s="37"/>
      <c r="H22" s="18"/>
      <c r="I22" s="18"/>
      <c r="J22" s="18"/>
      <c r="K22" s="19"/>
    </row>
    <row r="23" spans="1:12" ht="15" x14ac:dyDescent="0.25">
      <c r="A23" s="49"/>
      <c r="B23" s="17" t="s">
        <v>169</v>
      </c>
      <c r="C23" s="45" t="s">
        <v>762</v>
      </c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85</v>
      </c>
      <c r="C24" s="45" t="s">
        <v>171</v>
      </c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56" t="s">
        <v>461</v>
      </c>
      <c r="C25" s="45" t="s">
        <v>763</v>
      </c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81</v>
      </c>
      <c r="C26" s="45" t="s">
        <v>174</v>
      </c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85</v>
      </c>
      <c r="C27" s="45" t="s">
        <v>764</v>
      </c>
      <c r="D27" s="73"/>
      <c r="E27" s="37"/>
      <c r="F27" s="37"/>
      <c r="G27" s="37"/>
      <c r="H27" s="18"/>
      <c r="I27" s="18"/>
      <c r="J27" s="18"/>
      <c r="K27" s="19"/>
    </row>
    <row r="28" spans="1:12" ht="15" x14ac:dyDescent="0.25">
      <c r="A28" s="50"/>
      <c r="B28" s="21"/>
      <c r="C28" s="111"/>
      <c r="D28" s="74"/>
      <c r="E28" s="38"/>
      <c r="F28" s="38"/>
      <c r="G28" s="38"/>
      <c r="H28" s="22"/>
      <c r="I28" s="22"/>
      <c r="J28" s="22"/>
      <c r="K28" s="23"/>
      <c r="L28" s="108"/>
    </row>
    <row r="29" spans="1:12" ht="3.75" customHeight="1" x14ac:dyDescent="0.25">
      <c r="A29" s="47"/>
      <c r="B29" s="24"/>
      <c r="C29" s="24"/>
      <c r="D29" s="71"/>
      <c r="E29" s="24"/>
      <c r="F29" s="24"/>
      <c r="G29" s="24"/>
      <c r="H29" s="24"/>
      <c r="I29" s="24"/>
      <c r="J29" s="24"/>
      <c r="K29" s="24"/>
    </row>
    <row r="30" spans="1:12" ht="15" x14ac:dyDescent="0.25">
      <c r="A30" s="66" t="s">
        <v>813</v>
      </c>
      <c r="B30" s="1" t="s">
        <v>11</v>
      </c>
      <c r="C30" s="82" t="s">
        <v>816</v>
      </c>
      <c r="D30" s="109"/>
      <c r="E30" s="86" t="s">
        <v>5</v>
      </c>
      <c r="F30" s="85"/>
      <c r="G30" s="7">
        <v>43370</v>
      </c>
      <c r="H30" s="9">
        <v>114.4</v>
      </c>
      <c r="I30" s="84">
        <v>300</v>
      </c>
      <c r="J30" s="84">
        <v>34320</v>
      </c>
      <c r="K30" s="87">
        <v>43363</v>
      </c>
      <c r="L30" s="93" t="s">
        <v>406</v>
      </c>
    </row>
    <row r="31" spans="1:12" ht="18.75" x14ac:dyDescent="0.3">
      <c r="A31" s="531" t="s">
        <v>91</v>
      </c>
      <c r="B31" s="532"/>
      <c r="C31" s="13"/>
      <c r="D31" s="72"/>
      <c r="E31" s="13"/>
      <c r="F31" s="13"/>
      <c r="G31" s="13"/>
      <c r="H31" s="13"/>
      <c r="I31" s="13"/>
      <c r="J31" s="13"/>
      <c r="K31" s="14"/>
    </row>
    <row r="32" spans="1:12" x14ac:dyDescent="0.3">
      <c r="A32" s="49"/>
      <c r="B32" s="17" t="s">
        <v>76</v>
      </c>
      <c r="C32" s="37"/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78</v>
      </c>
      <c r="C33" s="37"/>
      <c r="D33" s="73"/>
      <c r="E33" s="37"/>
      <c r="F33" s="37"/>
      <c r="G33" s="37"/>
      <c r="H33" s="18"/>
      <c r="I33" s="59"/>
      <c r="J33" s="18"/>
      <c r="K33" s="19"/>
    </row>
    <row r="34" spans="1:12" x14ac:dyDescent="0.3">
      <c r="A34" s="49"/>
      <c r="B34" s="56" t="s">
        <v>98</v>
      </c>
      <c r="C34" s="45"/>
      <c r="D34" s="73"/>
      <c r="E34" s="37"/>
      <c r="F34" s="37"/>
      <c r="G34" s="37"/>
      <c r="H34" s="18"/>
      <c r="I34" s="18"/>
      <c r="J34" s="18"/>
      <c r="K34" s="19"/>
      <c r="L34" s="108"/>
    </row>
    <row r="35" spans="1:12" x14ac:dyDescent="0.3">
      <c r="A35" s="49"/>
      <c r="B35" s="17" t="s">
        <v>81</v>
      </c>
      <c r="C35" s="45"/>
      <c r="D35" s="73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17" t="s">
        <v>169</v>
      </c>
      <c r="C36" s="45"/>
      <c r="D36" s="73"/>
      <c r="E36" s="37"/>
      <c r="F36" s="37"/>
      <c r="G36" s="37"/>
      <c r="H36" s="18"/>
      <c r="I36" s="18"/>
      <c r="J36" s="18"/>
      <c r="K36" s="19"/>
    </row>
    <row r="37" spans="1:12" x14ac:dyDescent="0.3">
      <c r="A37" s="49"/>
      <c r="B37" s="17" t="s">
        <v>85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56" t="s">
        <v>461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81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17" t="s">
        <v>85</v>
      </c>
      <c r="C40" s="45"/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50"/>
      <c r="B41" s="21"/>
      <c r="C41" s="111"/>
      <c r="D41" s="74"/>
      <c r="E41" s="38"/>
      <c r="F41" s="38"/>
      <c r="G41" s="38"/>
      <c r="H41" s="22"/>
      <c r="I41" s="22"/>
      <c r="J41" s="22"/>
      <c r="K41" s="23"/>
      <c r="L41" s="108"/>
    </row>
    <row r="42" spans="1:12" ht="3.75" customHeight="1" x14ac:dyDescent="0.3">
      <c r="A42" s="47"/>
      <c r="B42" s="24"/>
      <c r="C42" s="24"/>
      <c r="D42" s="71"/>
      <c r="E42" s="24"/>
      <c r="F42" s="24"/>
      <c r="G42" s="24"/>
      <c r="H42" s="24"/>
      <c r="I42" s="24"/>
      <c r="J42" s="24"/>
      <c r="K42" s="24"/>
    </row>
    <row r="43" spans="1:12" x14ac:dyDescent="0.3">
      <c r="A43" s="66" t="s">
        <v>848</v>
      </c>
      <c r="B43" s="1" t="s">
        <v>56</v>
      </c>
      <c r="C43" s="82" t="s">
        <v>50</v>
      </c>
      <c r="D43" s="109" t="s">
        <v>867</v>
      </c>
      <c r="E43" s="86" t="s">
        <v>158</v>
      </c>
      <c r="F43" s="85"/>
      <c r="G43" s="7">
        <v>43368</v>
      </c>
      <c r="H43" s="9">
        <v>85</v>
      </c>
      <c r="I43" s="84">
        <v>331</v>
      </c>
      <c r="J43" s="84">
        <v>28135</v>
      </c>
      <c r="K43" s="87"/>
      <c r="L43" s="93" t="s">
        <v>406</v>
      </c>
    </row>
    <row r="44" spans="1:12" x14ac:dyDescent="0.3">
      <c r="A44" s="66" t="s">
        <v>849</v>
      </c>
      <c r="B44" s="1" t="s">
        <v>56</v>
      </c>
      <c r="C44" s="82" t="s">
        <v>50</v>
      </c>
      <c r="D44" s="109" t="s">
        <v>868</v>
      </c>
      <c r="E44" s="86" t="s">
        <v>158</v>
      </c>
      <c r="F44" s="85"/>
      <c r="G44" s="7">
        <v>43368</v>
      </c>
      <c r="H44" s="9">
        <v>83</v>
      </c>
      <c r="I44" s="84">
        <v>331</v>
      </c>
      <c r="J44" s="84">
        <v>27473</v>
      </c>
      <c r="K44" s="87"/>
      <c r="L44" s="93" t="s">
        <v>406</v>
      </c>
    </row>
    <row r="45" spans="1:12" x14ac:dyDescent="0.3">
      <c r="A45" s="66" t="s">
        <v>851</v>
      </c>
      <c r="B45" s="1" t="s">
        <v>56</v>
      </c>
      <c r="C45" s="82" t="s">
        <v>50</v>
      </c>
      <c r="D45" s="109" t="s">
        <v>869</v>
      </c>
      <c r="E45" s="86" t="s">
        <v>158</v>
      </c>
      <c r="F45" s="85"/>
      <c r="G45" s="7">
        <v>43368</v>
      </c>
      <c r="H45" s="9">
        <v>192</v>
      </c>
      <c r="I45" s="84">
        <v>377</v>
      </c>
      <c r="J45" s="84">
        <v>72384</v>
      </c>
      <c r="K45" s="87"/>
      <c r="L45" s="93" t="s">
        <v>406</v>
      </c>
    </row>
    <row r="46" spans="1:12" x14ac:dyDescent="0.3">
      <c r="A46" s="66" t="s">
        <v>852</v>
      </c>
      <c r="B46" s="1" t="s">
        <v>56</v>
      </c>
      <c r="C46" s="82" t="s">
        <v>50</v>
      </c>
      <c r="D46" s="109" t="s">
        <v>870</v>
      </c>
      <c r="E46" s="86" t="s">
        <v>158</v>
      </c>
      <c r="F46" s="85"/>
      <c r="G46" s="7">
        <v>43368</v>
      </c>
      <c r="H46" s="9">
        <v>192</v>
      </c>
      <c r="I46" s="84">
        <v>387</v>
      </c>
      <c r="J46" s="84">
        <v>74304</v>
      </c>
      <c r="K46" s="87"/>
      <c r="L46" s="93" t="s">
        <v>406</v>
      </c>
    </row>
    <row r="47" spans="1:12" ht="18" x14ac:dyDescent="0.35">
      <c r="A47" s="531" t="s">
        <v>91</v>
      </c>
      <c r="B47" s="532"/>
      <c r="C47" s="13"/>
      <c r="D47" s="72"/>
      <c r="E47" s="13"/>
      <c r="F47" s="13"/>
      <c r="G47" s="13"/>
      <c r="H47" s="13"/>
      <c r="I47" s="13"/>
      <c r="J47" s="13"/>
      <c r="K47" s="14"/>
    </row>
    <row r="48" spans="1:12" x14ac:dyDescent="0.3">
      <c r="A48" s="49"/>
      <c r="B48" s="17" t="s">
        <v>76</v>
      </c>
      <c r="C48" s="37"/>
      <c r="D48" s="73"/>
      <c r="E48" s="37"/>
      <c r="F48" s="37"/>
      <c r="G48" s="37"/>
      <c r="H48" s="18"/>
      <c r="I48" s="18"/>
      <c r="J48" s="18"/>
      <c r="K48" s="19"/>
    </row>
    <row r="49" spans="1:12" x14ac:dyDescent="0.3">
      <c r="A49" s="49"/>
      <c r="B49" s="17" t="s">
        <v>78</v>
      </c>
      <c r="C49" s="37"/>
      <c r="D49" s="73"/>
      <c r="E49" s="37"/>
      <c r="F49" s="37"/>
      <c r="G49" s="37"/>
      <c r="H49" s="18"/>
      <c r="I49" s="59"/>
      <c r="J49" s="18"/>
      <c r="K49" s="19"/>
    </row>
    <row r="50" spans="1:12" x14ac:dyDescent="0.3">
      <c r="A50" s="49"/>
      <c r="B50" s="56" t="s">
        <v>98</v>
      </c>
      <c r="C50" s="45"/>
      <c r="D50" s="73"/>
      <c r="E50" s="37"/>
      <c r="F50" s="37"/>
      <c r="G50" s="37"/>
      <c r="H50" s="18"/>
      <c r="I50" s="18"/>
      <c r="J50" s="18"/>
      <c r="K50" s="19"/>
      <c r="L50" s="108"/>
    </row>
    <row r="51" spans="1:12" x14ac:dyDescent="0.3">
      <c r="A51" s="49"/>
      <c r="B51" s="17" t="s">
        <v>81</v>
      </c>
      <c r="C51" s="45"/>
      <c r="D51" s="73"/>
      <c r="E51" s="37"/>
      <c r="F51" s="37"/>
      <c r="G51" s="37"/>
      <c r="H51" s="18"/>
      <c r="I51" s="18"/>
      <c r="J51" s="18"/>
      <c r="K51" s="19"/>
    </row>
    <row r="52" spans="1:12" x14ac:dyDescent="0.3">
      <c r="A52" s="49"/>
      <c r="B52" s="17" t="s">
        <v>169</v>
      </c>
      <c r="C52" s="45"/>
      <c r="D52" s="73"/>
      <c r="E52" s="37"/>
      <c r="F52" s="37"/>
      <c r="G52" s="37"/>
      <c r="H52" s="18"/>
      <c r="I52" s="18"/>
      <c r="J52" s="18"/>
      <c r="K52" s="19"/>
    </row>
    <row r="53" spans="1:12" x14ac:dyDescent="0.3">
      <c r="A53" s="49"/>
      <c r="B53" s="17" t="s">
        <v>85</v>
      </c>
      <c r="C53" s="45"/>
      <c r="D53" s="73"/>
      <c r="E53" s="37"/>
      <c r="F53" s="37"/>
      <c r="G53" s="37"/>
      <c r="H53" s="18"/>
      <c r="I53" s="18"/>
      <c r="J53" s="18"/>
      <c r="K53" s="19"/>
    </row>
    <row r="54" spans="1:12" x14ac:dyDescent="0.3">
      <c r="A54" s="49"/>
      <c r="B54" s="56" t="s">
        <v>461</v>
      </c>
      <c r="C54" s="45"/>
      <c r="D54" s="73"/>
      <c r="E54" s="37"/>
      <c r="F54" s="37"/>
      <c r="G54" s="37"/>
      <c r="H54" s="18"/>
      <c r="I54" s="18"/>
      <c r="J54" s="18"/>
      <c r="K54" s="19"/>
    </row>
    <row r="55" spans="1:12" x14ac:dyDescent="0.3">
      <c r="A55" s="49"/>
      <c r="B55" s="17" t="s">
        <v>81</v>
      </c>
      <c r="C55" s="45"/>
      <c r="D55" s="73"/>
      <c r="E55" s="37"/>
      <c r="F55" s="37"/>
      <c r="G55" s="37"/>
      <c r="H55" s="18"/>
      <c r="I55" s="18"/>
      <c r="J55" s="18"/>
      <c r="K55" s="19"/>
    </row>
    <row r="56" spans="1:12" x14ac:dyDescent="0.3">
      <c r="A56" s="49"/>
      <c r="B56" s="17" t="s">
        <v>85</v>
      </c>
      <c r="C56" s="45"/>
      <c r="D56" s="73"/>
      <c r="E56" s="37"/>
      <c r="F56" s="37"/>
      <c r="G56" s="37"/>
      <c r="H56" s="18"/>
      <c r="I56" s="18"/>
      <c r="J56" s="18"/>
      <c r="K56" s="19"/>
    </row>
    <row r="57" spans="1:12" x14ac:dyDescent="0.3">
      <c r="A57" s="50"/>
      <c r="B57" s="21"/>
      <c r="C57" s="111"/>
      <c r="D57" s="74"/>
      <c r="E57" s="38"/>
      <c r="F57" s="38"/>
      <c r="G57" s="38"/>
      <c r="H57" s="22"/>
      <c r="I57" s="22"/>
      <c r="J57" s="22"/>
      <c r="K57" s="23"/>
      <c r="L57" s="108"/>
    </row>
  </sheetData>
  <mergeCells count="5">
    <mergeCell ref="A47:B47"/>
    <mergeCell ref="L1:P1"/>
    <mergeCell ref="A5:B5"/>
    <mergeCell ref="A18:B18"/>
    <mergeCell ref="A31:B31"/>
  </mergeCells>
  <conditionalFormatting sqref="G30 G43:G46">
    <cfRule type="cellIs" dxfId="1653" priority="39" operator="between">
      <formula>TODAY()</formula>
      <formula>TODAY()+10</formula>
    </cfRule>
  </conditionalFormatting>
  <conditionalFormatting sqref="G17">
    <cfRule type="cellIs" dxfId="1652" priority="6" operator="between">
      <formula>TODAY()</formula>
      <formula>TODAY()+10</formula>
    </cfRule>
  </conditionalFormatting>
  <conditionalFormatting sqref="G3:G4">
    <cfRule type="cellIs" dxfId="1651" priority="5" operator="between">
      <formula>TODAY()</formula>
      <formula>TODAY()+10</formula>
    </cfRule>
  </conditionalFormatting>
  <dataValidations count="4">
    <dataValidation type="list" allowBlank="1" showInputMessage="1" showErrorMessage="1" sqref="C3:C4 C15 C28 C17 C30 C41 C43:C46 C57">
      <formula1>PROVEEDORES</formula1>
    </dataValidation>
    <dataValidation type="list" allowBlank="1" showInputMessage="1" showErrorMessage="1" sqref="E3:E4 E15 E28 E17 E30 E41 E43:E46 E57">
      <formula1>PLAZOdePAGO</formula1>
    </dataValidation>
    <dataValidation type="list" allowBlank="1" showInputMessage="1" showErrorMessage="1" sqref="F3:F4 F15 F28 F17 F41 F43:F46 F57">
      <formula1>PLAZOdePAGO2</formula1>
    </dataValidation>
    <dataValidation type="list" allowBlank="1" showInputMessage="1" showErrorMessage="1" sqref="B3:B4 B17 B30 B43:B46">
      <formula1>MATERIALES</formula1>
    </dataValidation>
  </dataValidations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showGridLines="0" workbookViewId="0">
      <selection activeCell="I16" sqref="I16"/>
    </sheetView>
  </sheetViews>
  <sheetFormatPr baseColWidth="10" defaultRowHeight="14.4" x14ac:dyDescent="0.3"/>
  <sheetData>
    <row r="1" spans="1:13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3" s="10" customFormat="1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3" s="10" customFormat="1" ht="15" x14ac:dyDescent="0.25">
      <c r="A3" s="66" t="s">
        <v>859</v>
      </c>
      <c r="B3" s="1" t="s">
        <v>28</v>
      </c>
      <c r="C3" s="82" t="s">
        <v>17</v>
      </c>
      <c r="D3" s="109"/>
      <c r="E3" s="86" t="s">
        <v>5</v>
      </c>
      <c r="F3" s="85"/>
      <c r="G3" s="7">
        <v>43376</v>
      </c>
      <c r="H3" s="9">
        <v>504</v>
      </c>
      <c r="I3" s="84">
        <v>260</v>
      </c>
      <c r="J3" s="84">
        <f>+I3*H3*0.2</f>
        <v>26208</v>
      </c>
      <c r="K3" s="87"/>
      <c r="L3" s="93" t="s">
        <v>774</v>
      </c>
      <c r="M3" s="10" t="s">
        <v>110</v>
      </c>
    </row>
    <row r="4" spans="1:13" s="10" customFormat="1" ht="15" x14ac:dyDescent="0.25">
      <c r="A4" s="66" t="s">
        <v>860</v>
      </c>
      <c r="B4" s="1" t="s">
        <v>28</v>
      </c>
      <c r="C4" s="82" t="s">
        <v>17</v>
      </c>
      <c r="D4" s="109"/>
      <c r="E4" s="86" t="s">
        <v>5</v>
      </c>
      <c r="F4" s="85"/>
      <c r="G4" s="7">
        <v>43376</v>
      </c>
      <c r="H4" s="9">
        <v>504</v>
      </c>
      <c r="I4" s="84">
        <v>260</v>
      </c>
      <c r="J4" s="84">
        <f>+I4*H4*0.2</f>
        <v>26208</v>
      </c>
      <c r="K4" s="87"/>
      <c r="L4" s="93" t="s">
        <v>774</v>
      </c>
      <c r="M4" s="10" t="s">
        <v>110</v>
      </c>
    </row>
    <row r="5" spans="1:13" s="10" customFormat="1" ht="18.75" x14ac:dyDescent="0.3">
      <c r="A5" s="531" t="s">
        <v>91</v>
      </c>
      <c r="B5" s="532"/>
      <c r="C5" s="13"/>
      <c r="D5" s="72"/>
      <c r="E5" s="13"/>
      <c r="F5" s="13"/>
      <c r="G5" s="13"/>
      <c r="H5" s="13"/>
      <c r="I5" s="13"/>
      <c r="J5" s="13"/>
      <c r="K5" s="14"/>
    </row>
    <row r="6" spans="1:13" s="10" customFormat="1" x14ac:dyDescent="0.3">
      <c r="A6" s="49"/>
      <c r="B6" s="17" t="s">
        <v>76</v>
      </c>
      <c r="C6" s="37"/>
      <c r="D6" s="73"/>
      <c r="E6" s="37"/>
      <c r="F6" s="37"/>
      <c r="G6" s="37"/>
      <c r="H6" s="18"/>
      <c r="I6" s="18"/>
      <c r="J6" s="18"/>
      <c r="K6" s="19"/>
    </row>
    <row r="7" spans="1:13" s="10" customFormat="1" x14ac:dyDescent="0.3">
      <c r="A7" s="49"/>
      <c r="B7" s="17" t="s">
        <v>78</v>
      </c>
      <c r="C7" s="37"/>
      <c r="D7" s="73"/>
      <c r="E7" s="37"/>
      <c r="F7" s="37"/>
      <c r="G7" s="37"/>
      <c r="H7" s="18"/>
      <c r="I7" s="59"/>
      <c r="J7" s="18"/>
      <c r="K7" s="19"/>
    </row>
    <row r="8" spans="1:13" s="10" customFormat="1" x14ac:dyDescent="0.3">
      <c r="A8" s="49"/>
      <c r="B8" s="56" t="s">
        <v>98</v>
      </c>
      <c r="C8" s="45"/>
      <c r="D8" s="73"/>
      <c r="E8" s="37"/>
      <c r="F8" s="37"/>
      <c r="G8" s="37"/>
      <c r="H8" s="18"/>
      <c r="I8" s="18"/>
      <c r="J8" s="18"/>
      <c r="K8" s="19"/>
      <c r="L8" s="108"/>
    </row>
    <row r="9" spans="1:13" s="10" customFormat="1" x14ac:dyDescent="0.3">
      <c r="A9" s="49"/>
      <c r="B9" s="17" t="s">
        <v>81</v>
      </c>
      <c r="C9" s="45"/>
      <c r="D9" s="73"/>
      <c r="E9" s="37"/>
      <c r="F9" s="37"/>
      <c r="G9" s="37"/>
      <c r="H9" s="18"/>
      <c r="I9" s="18"/>
      <c r="J9" s="18"/>
      <c r="K9" s="19"/>
    </row>
    <row r="10" spans="1:13" s="10" customFormat="1" ht="15" x14ac:dyDescent="0.25">
      <c r="A10" s="49"/>
      <c r="B10" s="17" t="s">
        <v>169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3" s="10" customFormat="1" x14ac:dyDescent="0.3">
      <c r="A11" s="49"/>
      <c r="B11" s="17" t="s">
        <v>85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3" s="10" customFormat="1" x14ac:dyDescent="0.3">
      <c r="A12" s="49"/>
      <c r="B12" s="56" t="s">
        <v>461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3" s="10" customFormat="1" x14ac:dyDescent="0.3">
      <c r="A13" s="49"/>
      <c r="B13" s="17" t="s">
        <v>81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3" s="10" customFormat="1" x14ac:dyDescent="0.3">
      <c r="A14" s="49"/>
      <c r="B14" s="17" t="s">
        <v>85</v>
      </c>
      <c r="C14" s="45"/>
      <c r="D14" s="73"/>
      <c r="E14" s="37"/>
      <c r="F14" s="37"/>
      <c r="G14" s="37"/>
      <c r="H14" s="18"/>
      <c r="I14" s="18"/>
      <c r="J14" s="18"/>
      <c r="K14" s="19"/>
    </row>
    <row r="15" spans="1:13" s="10" customFormat="1" ht="15" x14ac:dyDescent="0.25">
      <c r="A15" s="50"/>
      <c r="B15" s="21"/>
      <c r="C15" s="111"/>
      <c r="D15" s="74"/>
      <c r="E15" s="38"/>
      <c r="F15" s="38"/>
      <c r="G15" s="38"/>
      <c r="H15" s="22"/>
      <c r="I15" s="22"/>
      <c r="J15" s="22"/>
      <c r="K15" s="23"/>
      <c r="L15" s="108"/>
    </row>
  </sheetData>
  <mergeCells count="1">
    <mergeCell ref="A5:B5"/>
  </mergeCells>
  <conditionalFormatting sqref="G3:G4">
    <cfRule type="cellIs" dxfId="1650" priority="1" operator="between">
      <formula>TODAY()</formula>
      <formula>TODAY()+10</formula>
    </cfRule>
  </conditionalFormatting>
  <dataValidations count="4">
    <dataValidation type="list" allowBlank="1" showInputMessage="1" showErrorMessage="1" sqref="B3:B4">
      <formula1>MATERIALES</formula1>
    </dataValidation>
    <dataValidation type="list" allowBlank="1" showInputMessage="1" showErrorMessage="1" sqref="F15 F3:F4">
      <formula1>PLAZOdePAGO2</formula1>
    </dataValidation>
    <dataValidation type="list" allowBlank="1" showInputMessage="1" showErrorMessage="1" sqref="E15 E3:E4">
      <formula1>PLAZOdePAGO</formula1>
    </dataValidation>
    <dataValidation type="list" allowBlank="1" showInputMessage="1" showErrorMessage="1" sqref="C15 C3:C4">
      <formula1>PROVEEDORES</formula1>
    </dataValidation>
  </dataValidations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G13" sqref="G13"/>
    </sheetView>
  </sheetViews>
  <sheetFormatPr baseColWidth="10" defaultColWidth="11.44140625" defaultRowHeight="14.4" x14ac:dyDescent="0.3"/>
  <cols>
    <col min="1" max="16384" width="11.44140625" style="10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x14ac:dyDescent="0.3">
      <c r="A3" s="66" t="s">
        <v>724</v>
      </c>
      <c r="B3" s="1" t="s">
        <v>359</v>
      </c>
      <c r="C3" s="82" t="s">
        <v>41</v>
      </c>
      <c r="D3" s="52" t="s">
        <v>833</v>
      </c>
      <c r="E3" s="86">
        <v>120</v>
      </c>
      <c r="F3" s="85" t="s">
        <v>20</v>
      </c>
      <c r="G3" s="80">
        <v>43392</v>
      </c>
      <c r="H3" s="9">
        <v>150</v>
      </c>
      <c r="I3" s="84">
        <v>800</v>
      </c>
      <c r="J3" s="84">
        <v>120000</v>
      </c>
      <c r="K3" s="87">
        <v>43262</v>
      </c>
      <c r="L3" s="93" t="s">
        <v>884</v>
      </c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2" x14ac:dyDescent="0.3">
      <c r="A16" s="66" t="s">
        <v>881</v>
      </c>
      <c r="B16" s="1" t="s">
        <v>8</v>
      </c>
      <c r="C16" s="82" t="s">
        <v>494</v>
      </c>
      <c r="D16" s="52"/>
      <c r="E16" s="86" t="s">
        <v>5</v>
      </c>
      <c r="F16" s="85"/>
      <c r="G16" s="80">
        <v>43391</v>
      </c>
      <c r="H16" s="9">
        <v>2420</v>
      </c>
      <c r="I16" s="84">
        <v>460</v>
      </c>
      <c r="J16" s="84">
        <v>1113200</v>
      </c>
      <c r="K16" s="87"/>
      <c r="L16" s="93"/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/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/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</sheetData>
  <mergeCells count="2">
    <mergeCell ref="A4:B4"/>
    <mergeCell ref="A17:B17"/>
  </mergeCells>
  <conditionalFormatting sqref="G3">
    <cfRule type="cellIs" dxfId="1649" priority="3" operator="between">
      <formula>TODAY()</formula>
      <formula>TODAY()+10</formula>
    </cfRule>
  </conditionalFormatting>
  <conditionalFormatting sqref="G16">
    <cfRule type="cellIs" dxfId="1648" priority="1" operator="between">
      <formula>TODAY()</formula>
      <formula>TODAY()+10</formula>
    </cfRule>
  </conditionalFormatting>
  <dataValidations count="4">
    <dataValidation type="list" allowBlank="1" showInputMessage="1" showErrorMessage="1" sqref="F16 F14 F27">
      <formula1>PLAZOdePAGO2</formula1>
    </dataValidation>
    <dataValidation type="list" allowBlank="1" showInputMessage="1" showErrorMessage="1" sqref="E16 E14 E27">
      <formula1>PLAZOdePAGO</formula1>
    </dataValidation>
    <dataValidation type="list" allowBlank="1" showInputMessage="1" showErrorMessage="1" sqref="C16 C14 C27">
      <formula1>PROVEEDORES</formula1>
    </dataValidation>
    <dataValidation type="list" allowBlank="1" showInputMessage="1" showErrorMessage="1" sqref="B16">
      <formula1>MATERIALES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topLeftCell="A12" workbookViewId="0">
      <selection activeCell="A12" sqref="A1:XFD1048576"/>
    </sheetView>
  </sheetViews>
  <sheetFormatPr baseColWidth="10" defaultColWidth="11.44140625" defaultRowHeight="14.4" x14ac:dyDescent="0.3"/>
  <cols>
    <col min="1" max="16384" width="11.44140625" style="146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ht="15" x14ac:dyDescent="0.25">
      <c r="A3" s="66" t="s">
        <v>880</v>
      </c>
      <c r="B3" s="151" t="s">
        <v>243</v>
      </c>
      <c r="C3" s="82" t="s">
        <v>46</v>
      </c>
      <c r="D3" s="147"/>
      <c r="E3" s="86" t="s">
        <v>5</v>
      </c>
      <c r="F3" s="149"/>
      <c r="G3" s="150">
        <v>43396</v>
      </c>
      <c r="H3" s="152">
        <v>2700</v>
      </c>
      <c r="I3" s="84">
        <v>287</v>
      </c>
      <c r="J3" s="84">
        <f>+I3*H3</f>
        <v>774900</v>
      </c>
      <c r="K3" s="148">
        <v>43381</v>
      </c>
      <c r="L3" s="93" t="s">
        <v>904</v>
      </c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2" x14ac:dyDescent="0.3">
      <c r="A16" s="66" t="s">
        <v>745</v>
      </c>
      <c r="B16" s="151" t="s">
        <v>750</v>
      </c>
      <c r="C16" s="82" t="s">
        <v>753</v>
      </c>
      <c r="D16" s="147">
        <v>50433359</v>
      </c>
      <c r="E16" s="86">
        <v>30</v>
      </c>
      <c r="F16" s="149" t="s">
        <v>20</v>
      </c>
      <c r="G16" s="150">
        <v>43398</v>
      </c>
      <c r="H16" s="152">
        <v>0.18</v>
      </c>
      <c r="I16" s="84">
        <v>12970</v>
      </c>
      <c r="J16" s="84">
        <f>+I16*H16</f>
        <v>2334.6</v>
      </c>
      <c r="K16" s="148"/>
      <c r="L16" s="93" t="s">
        <v>406</v>
      </c>
    </row>
    <row r="17" spans="1:16" x14ac:dyDescent="0.3">
      <c r="A17" s="66" t="s">
        <v>746</v>
      </c>
      <c r="B17" s="151" t="s">
        <v>751</v>
      </c>
      <c r="C17" s="82" t="s">
        <v>753</v>
      </c>
      <c r="D17" s="147">
        <v>50433359</v>
      </c>
      <c r="E17" s="86">
        <v>30</v>
      </c>
      <c r="F17" s="149" t="s">
        <v>20</v>
      </c>
      <c r="G17" s="150">
        <v>43398</v>
      </c>
      <c r="H17" s="152">
        <v>0.24</v>
      </c>
      <c r="I17" s="84">
        <v>3222</v>
      </c>
      <c r="J17" s="84">
        <f>+I17*H17</f>
        <v>773.28</v>
      </c>
      <c r="K17" s="148"/>
      <c r="L17" s="93" t="s">
        <v>406</v>
      </c>
    </row>
    <row r="18" spans="1:16" x14ac:dyDescent="0.3">
      <c r="A18" s="66" t="s">
        <v>747</v>
      </c>
      <c r="B18" s="151" t="s">
        <v>752</v>
      </c>
      <c r="C18" s="82" t="s">
        <v>753</v>
      </c>
      <c r="D18" s="147">
        <v>50433359</v>
      </c>
      <c r="E18" s="86">
        <v>30</v>
      </c>
      <c r="F18" s="149" t="s">
        <v>20</v>
      </c>
      <c r="G18" s="150">
        <v>43398</v>
      </c>
      <c r="H18" s="152">
        <v>0.3</v>
      </c>
      <c r="I18" s="84">
        <v>4296</v>
      </c>
      <c r="J18" s="84">
        <f>+I18*H18</f>
        <v>1288.8</v>
      </c>
      <c r="K18" s="148"/>
      <c r="L18" s="93" t="s">
        <v>406</v>
      </c>
    </row>
    <row r="19" spans="1:16" ht="18.75" x14ac:dyDescent="0.3">
      <c r="A19" s="531" t="s">
        <v>91</v>
      </c>
      <c r="B19" s="532"/>
      <c r="C19" s="13"/>
      <c r="D19" s="72"/>
      <c r="E19" s="13"/>
      <c r="F19" s="13"/>
      <c r="G19" s="13"/>
      <c r="H19" s="13"/>
      <c r="I19" s="13"/>
      <c r="J19" s="13"/>
      <c r="K19" s="14"/>
    </row>
    <row r="20" spans="1:16" x14ac:dyDescent="0.3">
      <c r="A20" s="49"/>
      <c r="B20" s="17" t="s">
        <v>76</v>
      </c>
      <c r="C20" s="37"/>
      <c r="D20" s="73"/>
      <c r="E20" s="37"/>
      <c r="F20" s="37"/>
      <c r="G20" s="37"/>
      <c r="H20" s="18"/>
      <c r="I20" s="18"/>
      <c r="J20" s="18"/>
      <c r="K20" s="19"/>
    </row>
    <row r="21" spans="1:16" x14ac:dyDescent="0.3">
      <c r="A21" s="49"/>
      <c r="B21" s="17" t="s">
        <v>78</v>
      </c>
      <c r="C21" s="37"/>
      <c r="D21" s="73"/>
      <c r="E21" s="37"/>
      <c r="F21" s="37"/>
      <c r="G21" s="37"/>
      <c r="H21" s="18"/>
      <c r="I21" s="59"/>
      <c r="J21" s="18"/>
      <c r="K21" s="19"/>
    </row>
    <row r="22" spans="1:16" x14ac:dyDescent="0.3">
      <c r="A22" s="49"/>
      <c r="B22" s="56" t="s">
        <v>98</v>
      </c>
      <c r="C22" s="45"/>
      <c r="D22" s="73"/>
      <c r="E22" s="37"/>
      <c r="F22" s="37"/>
      <c r="G22" s="37"/>
      <c r="H22" s="18"/>
      <c r="I22" s="18"/>
      <c r="J22" s="18"/>
      <c r="K22" s="19"/>
      <c r="L22" s="108"/>
    </row>
    <row r="23" spans="1:16" x14ac:dyDescent="0.3">
      <c r="A23" s="49"/>
      <c r="B23" s="17" t="s">
        <v>81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6" ht="15" x14ac:dyDescent="0.25">
      <c r="A24" s="49"/>
      <c r="B24" s="17" t="s">
        <v>169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6" x14ac:dyDescent="0.3">
      <c r="A25" s="49"/>
      <c r="B25" s="17" t="s">
        <v>85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6" x14ac:dyDescent="0.3">
      <c r="A26" s="49"/>
      <c r="B26" s="56" t="s">
        <v>461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6" x14ac:dyDescent="0.3">
      <c r="A27" s="49"/>
      <c r="B27" s="17" t="s">
        <v>81</v>
      </c>
      <c r="C27" s="45"/>
      <c r="D27" s="73"/>
      <c r="E27" s="37"/>
      <c r="F27" s="37"/>
      <c r="G27" s="37"/>
      <c r="H27" s="18"/>
      <c r="I27" s="18"/>
      <c r="J27" s="18"/>
      <c r="K27" s="19"/>
    </row>
    <row r="28" spans="1:16" x14ac:dyDescent="0.3">
      <c r="A28" s="49"/>
      <c r="B28" s="17" t="s">
        <v>85</v>
      </c>
      <c r="C28" s="45"/>
      <c r="D28" s="73"/>
      <c r="E28" s="37"/>
      <c r="F28" s="37"/>
      <c r="G28" s="37"/>
      <c r="H28" s="18"/>
      <c r="I28" s="18"/>
      <c r="J28" s="18"/>
      <c r="K28" s="19"/>
    </row>
    <row r="29" spans="1:16" ht="15" x14ac:dyDescent="0.25">
      <c r="A29" s="50"/>
      <c r="B29" s="21"/>
      <c r="C29" s="111"/>
      <c r="D29" s="74"/>
      <c r="E29" s="38"/>
      <c r="F29" s="38"/>
      <c r="G29" s="38"/>
      <c r="H29" s="22"/>
      <c r="I29" s="22"/>
      <c r="J29" s="22"/>
      <c r="K29" s="23"/>
      <c r="L29" s="108"/>
    </row>
    <row r="30" spans="1:16" ht="3.75" customHeight="1" x14ac:dyDescent="0.25">
      <c r="A30" s="47"/>
      <c r="B30" s="24"/>
      <c r="C30" s="24"/>
      <c r="D30" s="71"/>
      <c r="E30" s="24"/>
      <c r="F30" s="24"/>
      <c r="G30" s="24"/>
      <c r="H30" s="24"/>
      <c r="I30" s="24"/>
      <c r="J30" s="24"/>
      <c r="K30" s="24"/>
    </row>
    <row r="31" spans="1:16" ht="13.5" customHeight="1" x14ac:dyDescent="0.3">
      <c r="A31" s="66" t="s">
        <v>769</v>
      </c>
      <c r="B31" s="151" t="s">
        <v>10</v>
      </c>
      <c r="C31" s="82" t="s">
        <v>7</v>
      </c>
      <c r="D31" s="147" t="s">
        <v>886</v>
      </c>
      <c r="E31" s="86">
        <v>90</v>
      </c>
      <c r="F31" s="149" t="s">
        <v>20</v>
      </c>
      <c r="G31" s="150">
        <v>43396</v>
      </c>
      <c r="H31" s="152">
        <v>448</v>
      </c>
      <c r="I31" s="84">
        <v>266</v>
      </c>
      <c r="J31" s="84">
        <f>+I31*H31+833-1993.85</f>
        <v>118007.15</v>
      </c>
      <c r="K31" s="148">
        <v>43396</v>
      </c>
      <c r="L31" s="93" t="s">
        <v>844</v>
      </c>
      <c r="P31" s="146" t="s">
        <v>406</v>
      </c>
    </row>
    <row r="32" spans="1:16" ht="13.5" customHeight="1" x14ac:dyDescent="0.3">
      <c r="A32" s="66" t="s">
        <v>770</v>
      </c>
      <c r="B32" s="151" t="s">
        <v>10</v>
      </c>
      <c r="C32" s="82" t="s">
        <v>7</v>
      </c>
      <c r="D32" s="147" t="s">
        <v>834</v>
      </c>
      <c r="E32" s="86">
        <v>90</v>
      </c>
      <c r="F32" s="149" t="s">
        <v>20</v>
      </c>
      <c r="G32" s="150">
        <v>43396</v>
      </c>
      <c r="H32" s="152">
        <v>1092</v>
      </c>
      <c r="I32" s="84">
        <v>271</v>
      </c>
      <c r="J32" s="84">
        <f>+I32*H32</f>
        <v>295932</v>
      </c>
      <c r="K32" s="148">
        <v>43396</v>
      </c>
      <c r="L32" s="93" t="s">
        <v>406</v>
      </c>
    </row>
    <row r="33" spans="1:12" ht="18.75" x14ac:dyDescent="0.3">
      <c r="A33" s="531" t="s">
        <v>91</v>
      </c>
      <c r="B33" s="532"/>
      <c r="C33" s="13"/>
      <c r="D33" s="72"/>
      <c r="E33" s="13"/>
      <c r="F33" s="13"/>
      <c r="G33" s="13"/>
      <c r="H33" s="13"/>
      <c r="I33" s="13"/>
      <c r="J33" s="13"/>
      <c r="K33" s="14"/>
    </row>
    <row r="34" spans="1:12" x14ac:dyDescent="0.3">
      <c r="A34" s="49"/>
      <c r="B34" s="17" t="s">
        <v>76</v>
      </c>
      <c r="C34" s="37"/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78</v>
      </c>
      <c r="C35" s="37"/>
      <c r="D35" s="73"/>
      <c r="E35" s="37"/>
      <c r="F35" s="37"/>
      <c r="G35" s="37"/>
      <c r="H35" s="18"/>
      <c r="I35" s="59"/>
      <c r="J35" s="18"/>
      <c r="K35" s="19"/>
    </row>
    <row r="36" spans="1:12" x14ac:dyDescent="0.3">
      <c r="A36" s="49"/>
      <c r="B36" s="56" t="s">
        <v>98</v>
      </c>
      <c r="C36" s="45"/>
      <c r="D36" s="73"/>
      <c r="E36" s="37"/>
      <c r="F36" s="37"/>
      <c r="G36" s="37"/>
      <c r="H36" s="18"/>
      <c r="I36" s="18"/>
      <c r="J36" s="18"/>
      <c r="K36" s="19"/>
      <c r="L36" s="108"/>
    </row>
    <row r="37" spans="1:12" x14ac:dyDescent="0.3">
      <c r="A37" s="49"/>
      <c r="B37" s="17" t="s">
        <v>81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ht="15" x14ac:dyDescent="0.25">
      <c r="A38" s="49"/>
      <c r="B38" s="17" t="s">
        <v>169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85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56" t="s">
        <v>461</v>
      </c>
      <c r="C40" s="45"/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49"/>
      <c r="B41" s="17" t="s">
        <v>81</v>
      </c>
      <c r="C41" s="45"/>
      <c r="D41" s="73"/>
      <c r="E41" s="37"/>
      <c r="F41" s="37"/>
      <c r="G41" s="37"/>
      <c r="H41" s="18"/>
      <c r="I41" s="18"/>
      <c r="J41" s="18"/>
      <c r="K41" s="19"/>
    </row>
    <row r="42" spans="1:12" x14ac:dyDescent="0.3">
      <c r="A42" s="49"/>
      <c r="B42" s="17" t="s">
        <v>85</v>
      </c>
      <c r="C42" s="45"/>
      <c r="D42" s="73"/>
      <c r="E42" s="37"/>
      <c r="F42" s="37"/>
      <c r="G42" s="37"/>
      <c r="H42" s="18"/>
      <c r="I42" s="18"/>
      <c r="J42" s="18"/>
      <c r="K42" s="19"/>
    </row>
    <row r="43" spans="1:12" ht="15" x14ac:dyDescent="0.25">
      <c r="A43" s="50"/>
      <c r="B43" s="21"/>
      <c r="C43" s="111"/>
      <c r="D43" s="74"/>
      <c r="E43" s="38"/>
      <c r="F43" s="38"/>
      <c r="G43" s="38"/>
      <c r="H43" s="22"/>
      <c r="I43" s="22"/>
      <c r="J43" s="22"/>
      <c r="K43" s="23"/>
      <c r="L43" s="108"/>
    </row>
  </sheetData>
  <mergeCells count="3">
    <mergeCell ref="A4:B4"/>
    <mergeCell ref="A19:B19"/>
    <mergeCell ref="A33:B33"/>
  </mergeCells>
  <conditionalFormatting sqref="G3">
    <cfRule type="cellIs" dxfId="1647" priority="7" operator="between">
      <formula>TODAY()</formula>
      <formula>TODAY()+10</formula>
    </cfRule>
  </conditionalFormatting>
  <conditionalFormatting sqref="G16:G18">
    <cfRule type="cellIs" dxfId="1646" priority="2" operator="between">
      <formula>TODAY()</formula>
      <formula>TODAY()+10</formula>
    </cfRule>
  </conditionalFormatting>
  <conditionalFormatting sqref="G31:G32">
    <cfRule type="cellIs" dxfId="1645" priority="1" operator="between">
      <formula>TODAY()</formula>
      <formula>TODAY()+10</formula>
    </cfRule>
  </conditionalFormatting>
  <dataValidations count="4">
    <dataValidation type="list" allowBlank="1" showInputMessage="1" showErrorMessage="1" sqref="B3 B31:B32">
      <formula1>MATERIALES</formula1>
    </dataValidation>
    <dataValidation type="list" allowBlank="1" showInputMessage="1" showErrorMessage="1" sqref="C14 C29 C3 C31:C32 C43">
      <formula1>PROVEEDORES</formula1>
    </dataValidation>
    <dataValidation type="list" allowBlank="1" showInputMessage="1" showErrorMessage="1" sqref="E14 E29 E3 E31:E32 E43">
      <formula1>PLAZOdePAGO</formula1>
    </dataValidation>
    <dataValidation type="list" allowBlank="1" showInputMessage="1" showErrorMessage="1" sqref="F14 F29 F3 F31:F32 F43">
      <formula1>PLAZOdePAGO2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workbookViewId="0">
      <selection activeCell="L19" sqref="L19"/>
    </sheetView>
  </sheetViews>
  <sheetFormatPr baseColWidth="10" defaultColWidth="11.44140625" defaultRowHeight="14.4" x14ac:dyDescent="0.3"/>
  <cols>
    <col min="1" max="16384" width="11.44140625" style="146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x14ac:dyDescent="0.3">
      <c r="A3" s="66" t="s">
        <v>779</v>
      </c>
      <c r="B3" s="151" t="s">
        <v>751</v>
      </c>
      <c r="C3" s="82" t="s">
        <v>753</v>
      </c>
      <c r="D3" s="147"/>
      <c r="E3" s="86">
        <v>30</v>
      </c>
      <c r="F3" s="149" t="s">
        <v>20</v>
      </c>
      <c r="G3" s="150">
        <v>43403</v>
      </c>
      <c r="H3" s="152">
        <v>3.82</v>
      </c>
      <c r="I3" s="84">
        <v>12970</v>
      </c>
      <c r="J3" s="84">
        <f>+I3*H3</f>
        <v>49545.4</v>
      </c>
      <c r="K3" s="148"/>
      <c r="L3" s="93" t="s">
        <v>406</v>
      </c>
    </row>
    <row r="4" spans="1:12" x14ac:dyDescent="0.3">
      <c r="A4" s="66" t="s">
        <v>780</v>
      </c>
      <c r="B4" s="151" t="s">
        <v>750</v>
      </c>
      <c r="C4" s="82" t="s">
        <v>753</v>
      </c>
      <c r="D4" s="147"/>
      <c r="E4" s="86">
        <v>30</v>
      </c>
      <c r="F4" s="149" t="s">
        <v>20</v>
      </c>
      <c r="G4" s="150">
        <v>43403</v>
      </c>
      <c r="H4" s="152">
        <v>1.86</v>
      </c>
      <c r="I4" s="84">
        <v>5370</v>
      </c>
      <c r="J4" s="84">
        <f>+I4*H4</f>
        <v>9988.2000000000007</v>
      </c>
      <c r="K4" s="148"/>
      <c r="L4" s="93" t="s">
        <v>406</v>
      </c>
    </row>
    <row r="5" spans="1:12" x14ac:dyDescent="0.3">
      <c r="A5" s="66" t="s">
        <v>885</v>
      </c>
      <c r="B5" s="151" t="s">
        <v>752</v>
      </c>
      <c r="C5" s="82" t="s">
        <v>753</v>
      </c>
      <c r="D5" s="147"/>
      <c r="E5" s="86">
        <v>30</v>
      </c>
      <c r="F5" s="149" t="s">
        <v>20</v>
      </c>
      <c r="G5" s="150">
        <v>43403</v>
      </c>
      <c r="H5" s="152">
        <v>2.1</v>
      </c>
      <c r="I5" s="84">
        <v>5370</v>
      </c>
      <c r="J5" s="84">
        <f>+I5*H5</f>
        <v>11277</v>
      </c>
      <c r="K5" s="148"/>
      <c r="L5" s="93" t="s">
        <v>406</v>
      </c>
    </row>
    <row r="6" spans="1:12" ht="18.75" x14ac:dyDescent="0.3">
      <c r="A6" s="531" t="s">
        <v>91</v>
      </c>
      <c r="B6" s="532"/>
      <c r="C6" s="13"/>
      <c r="D6" s="72"/>
      <c r="E6" s="13"/>
      <c r="F6" s="13"/>
      <c r="G6" s="13"/>
      <c r="H6" s="13"/>
      <c r="I6" s="13"/>
      <c r="J6" s="13"/>
      <c r="K6" s="14"/>
    </row>
    <row r="7" spans="1:12" x14ac:dyDescent="0.3">
      <c r="A7" s="49"/>
      <c r="B7" s="17" t="s">
        <v>76</v>
      </c>
      <c r="C7" s="37"/>
      <c r="D7" s="73"/>
      <c r="E7" s="37"/>
      <c r="F7" s="37"/>
      <c r="G7" s="37"/>
      <c r="H7" s="18"/>
      <c r="I7" s="18"/>
      <c r="J7" s="18"/>
      <c r="K7" s="19"/>
    </row>
    <row r="8" spans="1:12" x14ac:dyDescent="0.3">
      <c r="A8" s="49"/>
      <c r="B8" s="17" t="s">
        <v>78</v>
      </c>
      <c r="C8" s="37"/>
      <c r="D8" s="73"/>
      <c r="E8" s="37"/>
      <c r="F8" s="37"/>
      <c r="G8" s="37"/>
      <c r="H8" s="18"/>
      <c r="I8" s="59"/>
      <c r="J8" s="18"/>
      <c r="K8" s="19"/>
    </row>
    <row r="9" spans="1:12" x14ac:dyDescent="0.3">
      <c r="A9" s="49"/>
      <c r="B9" s="56" t="s">
        <v>98</v>
      </c>
      <c r="C9" s="45"/>
      <c r="D9" s="73"/>
      <c r="E9" s="37"/>
      <c r="F9" s="37"/>
      <c r="G9" s="37"/>
      <c r="H9" s="18"/>
      <c r="I9" s="18"/>
      <c r="J9" s="18"/>
      <c r="K9" s="19"/>
      <c r="L9" s="108"/>
    </row>
    <row r="10" spans="1:12" x14ac:dyDescent="0.3">
      <c r="A10" s="49"/>
      <c r="B10" s="17" t="s">
        <v>81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ht="15" x14ac:dyDescent="0.25">
      <c r="A11" s="49"/>
      <c r="B11" s="17" t="s">
        <v>169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85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56" t="s">
        <v>461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x14ac:dyDescent="0.3">
      <c r="A14" s="49"/>
      <c r="B14" s="17" t="s">
        <v>81</v>
      </c>
      <c r="C14" s="45"/>
      <c r="D14" s="73"/>
      <c r="E14" s="37"/>
      <c r="F14" s="37"/>
      <c r="G14" s="37"/>
      <c r="H14" s="18"/>
      <c r="I14" s="18"/>
      <c r="J14" s="18"/>
      <c r="K14" s="19"/>
    </row>
    <row r="15" spans="1:12" x14ac:dyDescent="0.3">
      <c r="A15" s="49"/>
      <c r="B15" s="17" t="s">
        <v>85</v>
      </c>
      <c r="C15" s="45"/>
      <c r="D15" s="73"/>
      <c r="E15" s="37"/>
      <c r="F15" s="37"/>
      <c r="G15" s="37"/>
      <c r="H15" s="18"/>
      <c r="I15" s="18"/>
      <c r="J15" s="18"/>
      <c r="K15" s="19"/>
    </row>
    <row r="16" spans="1:12" ht="15" x14ac:dyDescent="0.25">
      <c r="A16" s="50"/>
      <c r="B16" s="21"/>
      <c r="C16" s="111"/>
      <c r="D16" s="74"/>
      <c r="E16" s="38"/>
      <c r="F16" s="38"/>
      <c r="G16" s="38"/>
      <c r="H16" s="22"/>
      <c r="I16" s="22"/>
      <c r="J16" s="22"/>
      <c r="K16" s="23"/>
      <c r="L16" s="108"/>
    </row>
    <row r="17" spans="1:12" ht="3.75" customHeight="1" x14ac:dyDescent="0.25">
      <c r="A17" s="47"/>
      <c r="B17" s="24"/>
      <c r="C17" s="24"/>
      <c r="D17" s="71"/>
      <c r="E17" s="24"/>
      <c r="F17" s="24"/>
      <c r="G17" s="24"/>
      <c r="H17" s="24"/>
      <c r="I17" s="24"/>
      <c r="J17" s="24"/>
      <c r="K17" s="24"/>
    </row>
    <row r="18" spans="1:12" ht="13.5" customHeight="1" x14ac:dyDescent="0.3">
      <c r="A18" s="66" t="s">
        <v>812</v>
      </c>
      <c r="B18" s="151" t="s">
        <v>789</v>
      </c>
      <c r="C18" s="82" t="s">
        <v>280</v>
      </c>
      <c r="D18" s="147" t="s">
        <v>835</v>
      </c>
      <c r="E18" s="86">
        <v>60</v>
      </c>
      <c r="F18" s="149" t="s">
        <v>20</v>
      </c>
      <c r="G18" s="150">
        <v>43406</v>
      </c>
      <c r="H18" s="152">
        <v>399</v>
      </c>
      <c r="I18" s="84">
        <v>150.6</v>
      </c>
      <c r="J18" s="84">
        <f>+I18*H18</f>
        <v>60089.399999999994</v>
      </c>
      <c r="K18" s="148">
        <v>43347</v>
      </c>
      <c r="L18" s="93" t="s">
        <v>406</v>
      </c>
    </row>
    <row r="19" spans="1:12" ht="18.75" x14ac:dyDescent="0.3">
      <c r="A19" s="531" t="s">
        <v>91</v>
      </c>
      <c r="B19" s="532"/>
      <c r="C19" s="13"/>
      <c r="D19" s="72"/>
      <c r="E19" s="13"/>
      <c r="F19" s="13"/>
      <c r="G19" s="13"/>
      <c r="H19" s="13"/>
      <c r="I19" s="13"/>
      <c r="J19" s="13"/>
      <c r="K19" s="14"/>
    </row>
    <row r="20" spans="1:12" x14ac:dyDescent="0.3">
      <c r="A20" s="49"/>
      <c r="B20" s="17" t="s">
        <v>76</v>
      </c>
      <c r="C20" s="37"/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78</v>
      </c>
      <c r="C21" s="37"/>
      <c r="D21" s="73"/>
      <c r="E21" s="37"/>
      <c r="F21" s="37"/>
      <c r="G21" s="37"/>
      <c r="H21" s="18"/>
      <c r="I21" s="59"/>
      <c r="J21" s="18"/>
      <c r="K21" s="19"/>
    </row>
    <row r="22" spans="1:12" x14ac:dyDescent="0.3">
      <c r="A22" s="49"/>
      <c r="B22" s="56" t="s">
        <v>98</v>
      </c>
      <c r="C22" s="45"/>
      <c r="D22" s="73"/>
      <c r="E22" s="37"/>
      <c r="F22" s="37"/>
      <c r="G22" s="37"/>
      <c r="H22" s="18"/>
      <c r="I22" s="18"/>
      <c r="J22" s="18"/>
      <c r="K22" s="19"/>
      <c r="L22" s="108"/>
    </row>
    <row r="23" spans="1:12" x14ac:dyDescent="0.3">
      <c r="A23" s="49"/>
      <c r="B23" s="17" t="s">
        <v>81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ht="15" x14ac:dyDescent="0.25">
      <c r="A24" s="49"/>
      <c r="B24" s="17" t="s">
        <v>169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85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56" t="s">
        <v>461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x14ac:dyDescent="0.3">
      <c r="A27" s="49"/>
      <c r="B27" s="17" t="s">
        <v>81</v>
      </c>
      <c r="C27" s="45"/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85</v>
      </c>
      <c r="C28" s="45"/>
      <c r="D28" s="73"/>
      <c r="E28" s="37"/>
      <c r="F28" s="37"/>
      <c r="G28" s="37"/>
      <c r="H28" s="18"/>
      <c r="I28" s="18"/>
      <c r="J28" s="18"/>
      <c r="K28" s="19"/>
    </row>
    <row r="29" spans="1:12" ht="15" x14ac:dyDescent="0.25">
      <c r="A29" s="50"/>
      <c r="B29" s="21"/>
      <c r="C29" s="111"/>
      <c r="D29" s="74"/>
      <c r="E29" s="38"/>
      <c r="F29" s="38"/>
      <c r="G29" s="38"/>
      <c r="H29" s="22"/>
      <c r="I29" s="22"/>
      <c r="J29" s="22"/>
      <c r="K29" s="23"/>
      <c r="L29" s="108"/>
    </row>
  </sheetData>
  <mergeCells count="2">
    <mergeCell ref="A6:B6"/>
    <mergeCell ref="A19:B19"/>
  </mergeCells>
  <conditionalFormatting sqref="G3:G5">
    <cfRule type="cellIs" dxfId="1644" priority="16" operator="between">
      <formula>TODAY()</formula>
      <formula>TODAY()+10</formula>
    </cfRule>
  </conditionalFormatting>
  <conditionalFormatting sqref="G18">
    <cfRule type="cellIs" dxfId="1643" priority="1" operator="between">
      <formula>TODAY()</formula>
      <formula>TODAY()+10</formula>
    </cfRule>
  </conditionalFormatting>
  <dataValidations count="4">
    <dataValidation type="list" allowBlank="1" showInputMessage="1" showErrorMessage="1" sqref="F16 F3:F5 F29">
      <formula1>PLAZOdePAGO2</formula1>
    </dataValidation>
    <dataValidation type="list" allowBlank="1" showInputMessage="1" showErrorMessage="1" sqref="E16 E3:E5 E29">
      <formula1>PLAZOdePAGO</formula1>
    </dataValidation>
    <dataValidation type="list" allowBlank="1" showInputMessage="1" showErrorMessage="1" sqref="C16 C3:C4 B5 C18 C29">
      <formula1>PROVEEDORES</formula1>
    </dataValidation>
    <dataValidation type="list" allowBlank="1" showInputMessage="1" showErrorMessage="1" sqref="B3:B4 B18">
      <formula1>MATERIALES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A15" sqref="A15:XFD27"/>
    </sheetView>
  </sheetViews>
  <sheetFormatPr baseColWidth="10" defaultColWidth="11.44140625" defaultRowHeight="14.4" x14ac:dyDescent="0.3"/>
  <cols>
    <col min="1" max="16384" width="11.44140625" style="146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x14ac:dyDescent="0.3">
      <c r="A3" s="66" t="s">
        <v>845</v>
      </c>
      <c r="B3" s="151" t="s">
        <v>790</v>
      </c>
      <c r="C3" s="82" t="s">
        <v>277</v>
      </c>
      <c r="D3" s="147"/>
      <c r="E3" s="86" t="s">
        <v>5</v>
      </c>
      <c r="F3" s="149"/>
      <c r="G3" s="150">
        <v>43410</v>
      </c>
      <c r="H3" s="152">
        <v>174</v>
      </c>
      <c r="I3" s="84">
        <v>360</v>
      </c>
      <c r="J3" s="84">
        <v>62640</v>
      </c>
      <c r="K3" s="148">
        <v>43400</v>
      </c>
      <c r="L3" s="93" t="s">
        <v>882</v>
      </c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2" ht="15" x14ac:dyDescent="0.25">
      <c r="A16" s="66" t="s">
        <v>899</v>
      </c>
      <c r="B16" s="151" t="s">
        <v>448</v>
      </c>
      <c r="C16" s="82" t="s">
        <v>512</v>
      </c>
      <c r="D16" s="147" t="s">
        <v>908</v>
      </c>
      <c r="E16" s="86" t="s">
        <v>158</v>
      </c>
      <c r="F16" s="149"/>
      <c r="G16" s="150">
        <v>43412</v>
      </c>
      <c r="H16" s="152">
        <v>2000</v>
      </c>
      <c r="I16" s="84">
        <v>295</v>
      </c>
      <c r="J16" s="84">
        <f>+I16*H16</f>
        <v>590000</v>
      </c>
      <c r="K16" s="148"/>
      <c r="L16" s="93" t="s">
        <v>907</v>
      </c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/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/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</sheetData>
  <mergeCells count="2">
    <mergeCell ref="A4:B4"/>
    <mergeCell ref="A17:B17"/>
  </mergeCells>
  <conditionalFormatting sqref="G3">
    <cfRule type="cellIs" dxfId="1642" priority="7" operator="between">
      <formula>TODAY()</formula>
      <formula>TODAY()+10</formula>
    </cfRule>
  </conditionalFormatting>
  <conditionalFormatting sqref="G16">
    <cfRule type="cellIs" dxfId="1641" priority="1" operator="between">
      <formula>TODAY()</formula>
      <formula>TODAY()+10</formula>
    </cfRule>
  </conditionalFormatting>
  <dataValidations count="4">
    <dataValidation type="list" allowBlank="1" showInputMessage="1" showErrorMessage="1" sqref="B3 B16">
      <formula1>MATERIALES</formula1>
    </dataValidation>
    <dataValidation type="list" allowBlank="1" showInputMessage="1" showErrorMessage="1" sqref="C14 C3 C16 C27">
      <formula1>PROVEEDORES</formula1>
    </dataValidation>
    <dataValidation type="list" allowBlank="1" showInputMessage="1" showErrorMessage="1" sqref="E14 E3 E16 E27">
      <formula1>PLAZOdePAGO</formula1>
    </dataValidation>
    <dataValidation type="list" allowBlank="1" showInputMessage="1" showErrorMessage="1" sqref="F14 F3 F16 F27">
      <formula1>PLAZOdePAGO2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sqref="A1:XFD1048576"/>
    </sheetView>
  </sheetViews>
  <sheetFormatPr baseColWidth="10" defaultColWidth="11.44140625" defaultRowHeight="14.4" x14ac:dyDescent="0.3"/>
  <cols>
    <col min="1" max="16384" width="11.44140625" style="146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x14ac:dyDescent="0.3">
      <c r="A3" s="66" t="s">
        <v>786</v>
      </c>
      <c r="B3" s="151" t="s">
        <v>35</v>
      </c>
      <c r="C3" s="82" t="s">
        <v>47</v>
      </c>
      <c r="D3" s="147" t="s">
        <v>856</v>
      </c>
      <c r="E3" s="86">
        <v>90</v>
      </c>
      <c r="F3" s="149" t="s">
        <v>20</v>
      </c>
      <c r="G3" s="150">
        <v>43419</v>
      </c>
      <c r="H3" s="152">
        <v>400</v>
      </c>
      <c r="I3" s="84">
        <v>631</v>
      </c>
      <c r="J3" s="84">
        <f>+I3*H3</f>
        <v>252400</v>
      </c>
      <c r="K3" s="148"/>
      <c r="L3" s="93"/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2" ht="15" x14ac:dyDescent="0.25">
      <c r="A16" s="66" t="s">
        <v>859</v>
      </c>
      <c r="B16" s="151" t="s">
        <v>28</v>
      </c>
      <c r="C16" s="82" t="s">
        <v>17</v>
      </c>
      <c r="D16" s="147"/>
      <c r="E16" s="86" t="s">
        <v>5</v>
      </c>
      <c r="F16" s="149"/>
      <c r="G16" s="150">
        <v>43420</v>
      </c>
      <c r="H16" s="152">
        <v>504</v>
      </c>
      <c r="I16" s="84">
        <v>260</v>
      </c>
      <c r="J16" s="84">
        <v>104832</v>
      </c>
      <c r="K16" s="148"/>
      <c r="L16" s="93" t="s">
        <v>777</v>
      </c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/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/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</sheetData>
  <mergeCells count="2">
    <mergeCell ref="A4:B4"/>
    <mergeCell ref="A17:B17"/>
  </mergeCells>
  <conditionalFormatting sqref="G16">
    <cfRule type="cellIs" dxfId="1640" priority="12" operator="between">
      <formula>TODAY()</formula>
      <formula>TODAY()+10</formula>
    </cfRule>
  </conditionalFormatting>
  <conditionalFormatting sqref="G3">
    <cfRule type="cellIs" dxfId="1639" priority="2" operator="between">
      <formula>TODAY()</formula>
      <formula>TODAY()+10</formula>
    </cfRule>
  </conditionalFormatting>
  <dataValidations count="4">
    <dataValidation type="list" allowBlank="1" showInputMessage="1" showErrorMessage="1" sqref="F14 F16 F27 F3">
      <formula1>PLAZOdePAGO2</formula1>
    </dataValidation>
    <dataValidation type="list" allowBlank="1" showInputMessage="1" showErrorMessage="1" sqref="E14 E16 E27 E3">
      <formula1>PLAZOdePAGO</formula1>
    </dataValidation>
    <dataValidation type="list" allowBlank="1" showInputMessage="1" showErrorMessage="1" sqref="C14 C16 C27 C3">
      <formula1>PROVEEDORES</formula1>
    </dataValidation>
    <dataValidation type="list" allowBlank="1" showInputMessage="1" showErrorMessage="1" sqref="B3 B16">
      <formula1>MATERIALES</formula1>
    </dataValidation>
  </dataValidations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workbookViewId="0">
      <selection sqref="A1:XFD1048576"/>
    </sheetView>
  </sheetViews>
  <sheetFormatPr baseColWidth="10" defaultColWidth="11.44140625" defaultRowHeight="14.4" x14ac:dyDescent="0.3"/>
  <cols>
    <col min="1" max="1" width="11.44140625" style="146"/>
    <col min="2" max="2" width="27.44140625" style="146" bestFit="1" customWidth="1"/>
    <col min="3" max="9" width="11.44140625" style="146"/>
    <col min="10" max="10" width="12.5546875" style="146" bestFit="1" customWidth="1"/>
    <col min="11" max="16384" width="11.44140625" style="146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ht="15" x14ac:dyDescent="0.25">
      <c r="A3" s="66" t="s">
        <v>898</v>
      </c>
      <c r="B3" s="151" t="s">
        <v>33</v>
      </c>
      <c r="C3" s="82" t="s">
        <v>15</v>
      </c>
      <c r="D3" s="147"/>
      <c r="E3" s="86" t="s">
        <v>5</v>
      </c>
      <c r="F3" s="149"/>
      <c r="G3" s="150">
        <v>43424</v>
      </c>
      <c r="H3" s="152">
        <v>1200</v>
      </c>
      <c r="I3" s="84">
        <v>360</v>
      </c>
      <c r="J3" s="84">
        <f>+I3*H3</f>
        <v>432000</v>
      </c>
      <c r="K3" s="148"/>
      <c r="L3" s="93" t="s">
        <v>906</v>
      </c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2" ht="15" x14ac:dyDescent="0.25">
      <c r="A16" s="66" t="s">
        <v>836</v>
      </c>
      <c r="B16" s="151" t="s">
        <v>359</v>
      </c>
      <c r="C16" s="82" t="s">
        <v>7</v>
      </c>
      <c r="D16" s="147"/>
      <c r="E16" s="86" t="s">
        <v>5</v>
      </c>
      <c r="F16" s="149"/>
      <c r="G16" s="150">
        <v>43425</v>
      </c>
      <c r="H16" s="152">
        <v>540</v>
      </c>
      <c r="I16" s="84">
        <v>776</v>
      </c>
      <c r="J16" s="84">
        <f>+I16*H16</f>
        <v>419040</v>
      </c>
      <c r="K16" s="148">
        <v>43410</v>
      </c>
      <c r="L16" s="93"/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/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/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  <row r="28" spans="1:12" ht="3.75" customHeight="1" x14ac:dyDescent="0.25">
      <c r="A28" s="47"/>
      <c r="B28" s="24"/>
      <c r="C28" s="24"/>
      <c r="D28" s="71"/>
      <c r="E28" s="24"/>
      <c r="F28" s="24"/>
      <c r="G28" s="24"/>
      <c r="H28" s="24"/>
      <c r="I28" s="24"/>
      <c r="J28" s="24"/>
      <c r="K28" s="24"/>
    </row>
    <row r="29" spans="1:12" ht="15" x14ac:dyDescent="0.25">
      <c r="A29" s="66" t="s">
        <v>915</v>
      </c>
      <c r="B29" s="151" t="s">
        <v>32</v>
      </c>
      <c r="C29" s="82" t="s">
        <v>50</v>
      </c>
      <c r="D29" s="147"/>
      <c r="E29" s="86" t="s">
        <v>158</v>
      </c>
      <c r="F29" s="149"/>
      <c r="G29" s="150">
        <v>43426</v>
      </c>
      <c r="H29" s="152">
        <v>3300</v>
      </c>
      <c r="I29" s="84">
        <v>361.5</v>
      </c>
      <c r="J29" s="84">
        <f>+I29*H29</f>
        <v>1192950</v>
      </c>
      <c r="K29" s="148">
        <v>43419</v>
      </c>
      <c r="L29" s="93"/>
    </row>
    <row r="30" spans="1:12" ht="15" x14ac:dyDescent="0.25">
      <c r="A30" s="66" t="s">
        <v>916</v>
      </c>
      <c r="B30" s="151" t="s">
        <v>243</v>
      </c>
      <c r="C30" s="82" t="s">
        <v>50</v>
      </c>
      <c r="D30" s="147"/>
      <c r="E30" s="86" t="s">
        <v>158</v>
      </c>
      <c r="F30" s="149"/>
      <c r="G30" s="150">
        <v>43426</v>
      </c>
      <c r="H30" s="152">
        <v>6600</v>
      </c>
      <c r="I30" s="84">
        <v>266.5</v>
      </c>
      <c r="J30" s="84">
        <f>+I30*H30</f>
        <v>1758900</v>
      </c>
      <c r="K30" s="148">
        <v>43419</v>
      </c>
      <c r="L30" s="93"/>
    </row>
    <row r="31" spans="1:12" ht="15" x14ac:dyDescent="0.25">
      <c r="A31" s="66" t="s">
        <v>917</v>
      </c>
      <c r="B31" s="151" t="s">
        <v>56</v>
      </c>
      <c r="C31" s="82" t="s">
        <v>50</v>
      </c>
      <c r="D31" s="147" t="s">
        <v>923</v>
      </c>
      <c r="E31" s="86" t="s">
        <v>158</v>
      </c>
      <c r="F31" s="149"/>
      <c r="G31" s="150">
        <v>43424</v>
      </c>
      <c r="H31" s="152">
        <v>240</v>
      </c>
      <c r="I31" s="84">
        <v>377</v>
      </c>
      <c r="J31" s="84">
        <f>+I31*H31</f>
        <v>90480</v>
      </c>
      <c r="K31" s="148"/>
      <c r="L31" s="93"/>
    </row>
    <row r="32" spans="1:12" ht="15" x14ac:dyDescent="0.25">
      <c r="A32" s="66" t="s">
        <v>918</v>
      </c>
      <c r="B32" s="151" t="s">
        <v>56</v>
      </c>
      <c r="C32" s="82" t="s">
        <v>50</v>
      </c>
      <c r="D32" s="147" t="s">
        <v>924</v>
      </c>
      <c r="E32" s="86" t="s">
        <v>158</v>
      </c>
      <c r="F32" s="149"/>
      <c r="G32" s="150">
        <v>43424</v>
      </c>
      <c r="H32" s="152">
        <v>264</v>
      </c>
      <c r="I32" s="84">
        <v>387</v>
      </c>
      <c r="J32" s="84">
        <f>+I32*H32</f>
        <v>102168</v>
      </c>
      <c r="K32" s="148"/>
      <c r="L32" s="93"/>
    </row>
    <row r="33" spans="1:12" ht="18" x14ac:dyDescent="0.35">
      <c r="A33" s="531" t="s">
        <v>91</v>
      </c>
      <c r="B33" s="532"/>
      <c r="C33" s="13"/>
      <c r="D33" s="72"/>
      <c r="E33" s="13"/>
      <c r="F33" s="13"/>
      <c r="G33" s="13"/>
      <c r="H33" s="13"/>
      <c r="I33" s="13"/>
      <c r="J33" s="13"/>
      <c r="K33" s="14"/>
    </row>
    <row r="34" spans="1:12" x14ac:dyDescent="0.3">
      <c r="A34" s="49"/>
      <c r="B34" s="17" t="s">
        <v>76</v>
      </c>
      <c r="C34" s="37"/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78</v>
      </c>
      <c r="C35" s="37"/>
      <c r="D35" s="73"/>
      <c r="E35" s="37"/>
      <c r="F35" s="37"/>
      <c r="G35" s="37"/>
      <c r="H35" s="18"/>
      <c r="I35" s="59"/>
      <c r="J35" s="18"/>
      <c r="K35" s="19"/>
    </row>
    <row r="36" spans="1:12" x14ac:dyDescent="0.3">
      <c r="A36" s="49"/>
      <c r="B36" s="56" t="s">
        <v>98</v>
      </c>
      <c r="C36" s="45"/>
      <c r="D36" s="73"/>
      <c r="E36" s="37"/>
      <c r="F36" s="37"/>
      <c r="G36" s="37"/>
      <c r="H36" s="18"/>
      <c r="I36" s="18"/>
      <c r="J36" s="18"/>
      <c r="K36" s="19"/>
      <c r="L36" s="108"/>
    </row>
    <row r="37" spans="1:12" x14ac:dyDescent="0.3">
      <c r="A37" s="49"/>
      <c r="B37" s="17" t="s">
        <v>81</v>
      </c>
      <c r="C37" s="45"/>
      <c r="D37" s="73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169</v>
      </c>
      <c r="C38" s="45"/>
      <c r="D38" s="73"/>
      <c r="E38" s="37"/>
      <c r="F38" s="37"/>
      <c r="G38" s="37"/>
      <c r="H38" s="18"/>
      <c r="I38" s="18"/>
      <c r="J38" s="18"/>
      <c r="K38" s="19"/>
    </row>
    <row r="39" spans="1:12" x14ac:dyDescent="0.3">
      <c r="A39" s="49"/>
      <c r="B39" s="17" t="s">
        <v>85</v>
      </c>
      <c r="C39" s="45"/>
      <c r="D39" s="73"/>
      <c r="E39" s="37"/>
      <c r="F39" s="37"/>
      <c r="G39" s="37"/>
      <c r="H39" s="18"/>
      <c r="I39" s="18"/>
      <c r="J39" s="18"/>
      <c r="K39" s="19"/>
    </row>
    <row r="40" spans="1:12" x14ac:dyDescent="0.3">
      <c r="A40" s="49"/>
      <c r="B40" s="56" t="s">
        <v>461</v>
      </c>
      <c r="C40" s="45"/>
      <c r="D40" s="73"/>
      <c r="E40" s="37"/>
      <c r="F40" s="37"/>
      <c r="G40" s="37"/>
      <c r="H40" s="18"/>
      <c r="I40" s="18"/>
      <c r="J40" s="18"/>
      <c r="K40" s="19"/>
    </row>
    <row r="41" spans="1:12" x14ac:dyDescent="0.3">
      <c r="A41" s="49"/>
      <c r="B41" s="17" t="s">
        <v>81</v>
      </c>
      <c r="C41" s="45"/>
      <c r="D41" s="73"/>
      <c r="E41" s="37"/>
      <c r="F41" s="37"/>
      <c r="G41" s="37"/>
      <c r="H41" s="18"/>
      <c r="I41" s="18"/>
      <c r="J41" s="18"/>
      <c r="K41" s="19"/>
    </row>
    <row r="42" spans="1:12" x14ac:dyDescent="0.3">
      <c r="A42" s="49"/>
      <c r="B42" s="17" t="s">
        <v>85</v>
      </c>
      <c r="C42" s="45"/>
      <c r="D42" s="73"/>
      <c r="E42" s="37"/>
      <c r="F42" s="37"/>
      <c r="G42" s="37"/>
      <c r="H42" s="18"/>
      <c r="I42" s="18"/>
      <c r="J42" s="18"/>
      <c r="K42" s="19"/>
    </row>
    <row r="43" spans="1:12" x14ac:dyDescent="0.3">
      <c r="A43" s="50"/>
      <c r="B43" s="21"/>
      <c r="C43" s="111"/>
      <c r="D43" s="74"/>
      <c r="E43" s="38"/>
      <c r="F43" s="38"/>
      <c r="G43" s="38"/>
      <c r="H43" s="22"/>
      <c r="I43" s="22"/>
      <c r="J43" s="22"/>
      <c r="K43" s="23"/>
      <c r="L43" s="108"/>
    </row>
  </sheetData>
  <mergeCells count="3">
    <mergeCell ref="A4:B4"/>
    <mergeCell ref="A17:B17"/>
    <mergeCell ref="A33:B33"/>
  </mergeCells>
  <conditionalFormatting sqref="G16">
    <cfRule type="cellIs" dxfId="1638" priority="11" operator="between">
      <formula>TODAY()</formula>
      <formula>TODAY()+10</formula>
    </cfRule>
  </conditionalFormatting>
  <conditionalFormatting sqref="G3">
    <cfRule type="cellIs" dxfId="1637" priority="6" operator="between">
      <formula>TODAY()</formula>
      <formula>TODAY()+10</formula>
    </cfRule>
  </conditionalFormatting>
  <conditionalFormatting sqref="G29:G32">
    <cfRule type="cellIs" dxfId="1636" priority="1" operator="between">
      <formula>TODAY()</formula>
      <formula>TODAY()+10</formula>
    </cfRule>
  </conditionalFormatting>
  <dataValidations count="4">
    <dataValidation type="list" allowBlank="1" showInputMessage="1" showErrorMessage="1" sqref="B16 B3 B29:B32">
      <formula1>MATERIALES</formula1>
    </dataValidation>
    <dataValidation type="list" allowBlank="1" showInputMessage="1" showErrorMessage="1" sqref="C14 C16 C27 C3 C29:C32 C43">
      <formula1>PROVEEDORES</formula1>
    </dataValidation>
    <dataValidation type="list" allowBlank="1" showInputMessage="1" showErrorMessage="1" sqref="E14 E16 E27 E3 E29:E32 E43">
      <formula1>PLAZOdePAGO</formula1>
    </dataValidation>
    <dataValidation type="list" allowBlank="1" showInputMessage="1" showErrorMessage="1" sqref="F14 F16 F27 F3 F29:F32 F43">
      <formula1>PLAZOdePAGO2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G4" sqref="G4"/>
    </sheetView>
  </sheetViews>
  <sheetFormatPr baseColWidth="10" defaultColWidth="11.44140625" defaultRowHeight="14.4" x14ac:dyDescent="0.3"/>
  <cols>
    <col min="1" max="1" width="11.44140625" style="146"/>
    <col min="2" max="2" width="27.44140625" style="146" bestFit="1" customWidth="1"/>
    <col min="3" max="9" width="11.44140625" style="146"/>
    <col min="10" max="10" width="12.5546875" style="146" bestFit="1" customWidth="1"/>
    <col min="11" max="16384" width="11.44140625" style="146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ht="15" x14ac:dyDescent="0.25">
      <c r="A3" s="66" t="s">
        <v>860</v>
      </c>
      <c r="B3" s="151" t="s">
        <v>28</v>
      </c>
      <c r="C3" s="82" t="s">
        <v>17</v>
      </c>
      <c r="D3" s="147"/>
      <c r="E3" s="86" t="s">
        <v>5</v>
      </c>
      <c r="F3" s="149"/>
      <c r="G3" s="150">
        <v>43434</v>
      </c>
      <c r="H3" s="152">
        <v>504</v>
      </c>
      <c r="I3" s="84">
        <v>260</v>
      </c>
      <c r="J3" s="84">
        <f>+I3*H3*0.8</f>
        <v>104832</v>
      </c>
      <c r="K3" s="148"/>
      <c r="L3" s="93" t="s">
        <v>777</v>
      </c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ht="3.75" customHeight="1" x14ac:dyDescent="0.25">
      <c r="A15" s="47"/>
      <c r="B15" s="24"/>
      <c r="C15" s="24"/>
      <c r="D15" s="71"/>
      <c r="E15" s="24"/>
      <c r="F15" s="24"/>
      <c r="G15" s="24"/>
      <c r="H15" s="24"/>
      <c r="I15" s="24"/>
      <c r="J15" s="24"/>
      <c r="K15" s="24"/>
    </row>
    <row r="16" spans="1:12" ht="15" x14ac:dyDescent="0.25">
      <c r="A16" s="66" t="s">
        <v>811</v>
      </c>
      <c r="B16" s="151" t="s">
        <v>811</v>
      </c>
      <c r="C16" s="82" t="s">
        <v>46</v>
      </c>
      <c r="D16" s="147"/>
      <c r="E16" s="86"/>
      <c r="F16" s="149"/>
      <c r="G16" s="150">
        <v>43430</v>
      </c>
      <c r="H16" s="152">
        <f>2200+9842.65</f>
        <v>12042.65</v>
      </c>
      <c r="I16" s="84">
        <v>52.5</v>
      </c>
      <c r="J16" s="84">
        <f>+I16*H16</f>
        <v>632239.125</v>
      </c>
      <c r="K16" s="148">
        <v>43361</v>
      </c>
      <c r="L16" s="93" t="s">
        <v>406</v>
      </c>
    </row>
    <row r="17" spans="1:12" ht="18.75" x14ac:dyDescent="0.3">
      <c r="A17" s="531" t="s">
        <v>91</v>
      </c>
      <c r="B17" s="532"/>
      <c r="C17" s="13"/>
      <c r="D17" s="72"/>
      <c r="E17" s="13"/>
      <c r="F17" s="13"/>
      <c r="G17" s="13"/>
      <c r="H17" s="13"/>
      <c r="I17" s="13"/>
      <c r="J17" s="13"/>
      <c r="K17" s="14"/>
    </row>
    <row r="18" spans="1:12" x14ac:dyDescent="0.3">
      <c r="A18" s="49"/>
      <c r="B18" s="17" t="s">
        <v>76</v>
      </c>
      <c r="C18" s="37"/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78</v>
      </c>
      <c r="C19" s="37"/>
      <c r="D19" s="73"/>
      <c r="E19" s="37"/>
      <c r="F19" s="37"/>
      <c r="G19" s="37"/>
      <c r="H19" s="18"/>
      <c r="I19" s="59"/>
      <c r="J19" s="18"/>
      <c r="K19" s="19"/>
    </row>
    <row r="20" spans="1:12" x14ac:dyDescent="0.3">
      <c r="A20" s="49"/>
      <c r="B20" s="56" t="s">
        <v>98</v>
      </c>
      <c r="C20" s="45"/>
      <c r="D20" s="73"/>
      <c r="E20" s="37"/>
      <c r="F20" s="37"/>
      <c r="G20" s="37"/>
      <c r="H20" s="18"/>
      <c r="I20" s="18"/>
      <c r="J20" s="18"/>
      <c r="K20" s="19"/>
      <c r="L20" s="108"/>
    </row>
    <row r="21" spans="1:12" x14ac:dyDescent="0.3">
      <c r="A21" s="49"/>
      <c r="B21" s="17" t="s">
        <v>81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ht="15" x14ac:dyDescent="0.25">
      <c r="A22" s="49"/>
      <c r="B22" s="17" t="s">
        <v>169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17" t="s">
        <v>85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56" t="s">
        <v>461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81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x14ac:dyDescent="0.3">
      <c r="A26" s="49"/>
      <c r="B26" s="17" t="s">
        <v>85</v>
      </c>
      <c r="C26" s="45"/>
      <c r="D26" s="73"/>
      <c r="E26" s="37"/>
      <c r="F26" s="37"/>
      <c r="G26" s="37"/>
      <c r="H26" s="18"/>
      <c r="I26" s="18"/>
      <c r="J26" s="18"/>
      <c r="K26" s="19"/>
    </row>
    <row r="27" spans="1:12" ht="15" x14ac:dyDescent="0.25">
      <c r="A27" s="50"/>
      <c r="B27" s="21"/>
      <c r="C27" s="111"/>
      <c r="D27" s="74"/>
      <c r="E27" s="38"/>
      <c r="F27" s="38"/>
      <c r="G27" s="38"/>
      <c r="H27" s="22"/>
      <c r="I27" s="22"/>
      <c r="J27" s="22"/>
      <c r="K27" s="23"/>
      <c r="L27" s="108"/>
    </row>
  </sheetData>
  <mergeCells count="2">
    <mergeCell ref="A4:B4"/>
    <mergeCell ref="A17:B17"/>
  </mergeCells>
  <conditionalFormatting sqref="G16">
    <cfRule type="cellIs" dxfId="1635" priority="1" operator="between">
      <formula>TODAY()</formula>
      <formula>TODAY()+10</formula>
    </cfRule>
  </conditionalFormatting>
  <conditionalFormatting sqref="G3">
    <cfRule type="cellIs" dxfId="1634" priority="6" operator="between">
      <formula>TODAY()</formula>
      <formula>TODAY()+10</formula>
    </cfRule>
  </conditionalFormatting>
  <dataValidations count="4">
    <dataValidation type="list" allowBlank="1" showInputMessage="1" showErrorMessage="1" sqref="F14 F27 F3">
      <formula1>PLAZOdePAGO2</formula1>
    </dataValidation>
    <dataValidation type="list" allowBlank="1" showInputMessage="1" showErrorMessage="1" sqref="E14 E27 E3">
      <formula1>PLAZOdePAGO</formula1>
    </dataValidation>
    <dataValidation type="list" allowBlank="1" showInputMessage="1" showErrorMessage="1" sqref="C14 C27 C3">
      <formula1>PROVEEDORES</formula1>
    </dataValidation>
    <dataValidation type="list" allowBlank="1" showInputMessage="1" showErrorMessage="1" sqref="B3">
      <formula1>MATERIALES</formula1>
    </dataValidation>
  </dataValidations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20"/>
  <sheetViews>
    <sheetView showGridLines="0" zoomScale="115" zoomScaleNormal="115" workbookViewId="0">
      <pane xSplit="1" ySplit="1" topLeftCell="C1298" activePane="bottomRight" state="frozen"/>
      <selection pane="topRight" activeCell="B1" sqref="B1"/>
      <selection pane="bottomLeft" activeCell="A2" sqref="A2"/>
      <selection pane="bottomRight" activeCell="M1303" sqref="M1303:M1320"/>
    </sheetView>
  </sheetViews>
  <sheetFormatPr baseColWidth="10" defaultRowHeight="14.1" customHeight="1" x14ac:dyDescent="0.3"/>
  <cols>
    <col min="1" max="1" width="10.5546875" customWidth="1"/>
    <col min="2" max="2" width="23.5546875" customWidth="1"/>
    <col min="3" max="3" width="19" customWidth="1"/>
    <col min="4" max="4" width="12.5546875" bestFit="1" customWidth="1"/>
    <col min="5" max="5" width="4.5546875" style="91" customWidth="1"/>
    <col min="6" max="6" width="9" customWidth="1"/>
    <col min="7" max="8" width="8.5546875" customWidth="1"/>
    <col min="9" max="9" width="16.44140625" bestFit="1" customWidth="1"/>
    <col min="10" max="11" width="12.5546875" bestFit="1" customWidth="1"/>
    <col min="12" max="12" width="21.5546875" customWidth="1"/>
    <col min="13" max="13" width="11.44140625" style="250"/>
    <col min="15" max="15" width="13.5546875" customWidth="1"/>
  </cols>
  <sheetData>
    <row r="1" spans="1:15" ht="19.350000000000001" customHeight="1" x14ac:dyDescent="0.3">
      <c r="A1" s="46" t="s">
        <v>0</v>
      </c>
      <c r="B1" s="46" t="s">
        <v>1</v>
      </c>
      <c r="C1" s="46" t="s">
        <v>2</v>
      </c>
      <c r="D1" s="60" t="s">
        <v>111</v>
      </c>
      <c r="E1" s="137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81" t="s">
        <v>335</v>
      </c>
      <c r="L1" s="242" t="s">
        <v>337</v>
      </c>
      <c r="M1" s="239" t="s">
        <v>2016</v>
      </c>
      <c r="N1" s="239" t="s">
        <v>1332</v>
      </c>
      <c r="O1" s="239" t="s">
        <v>1333</v>
      </c>
    </row>
    <row r="2" spans="1:15" ht="14.1" customHeight="1" x14ac:dyDescent="0.3">
      <c r="A2" s="66" t="s">
        <v>162</v>
      </c>
      <c r="B2" s="1" t="s">
        <v>9</v>
      </c>
      <c r="C2" s="82" t="s">
        <v>41</v>
      </c>
      <c r="D2" s="79" t="s">
        <v>129</v>
      </c>
      <c r="E2" s="86">
        <v>150</v>
      </c>
      <c r="F2" s="85" t="s">
        <v>20</v>
      </c>
      <c r="G2" s="80">
        <v>42979</v>
      </c>
      <c r="H2" s="9">
        <v>125</v>
      </c>
      <c r="I2" s="84">
        <v>829</v>
      </c>
      <c r="J2" s="84">
        <v>103625</v>
      </c>
      <c r="K2" s="87">
        <v>42983</v>
      </c>
    </row>
    <row r="3" spans="1:15" ht="14.1" customHeight="1" x14ac:dyDescent="0.3">
      <c r="A3" s="66" t="s">
        <v>144</v>
      </c>
      <c r="B3" s="1" t="s">
        <v>43</v>
      </c>
      <c r="C3" s="82" t="s">
        <v>42</v>
      </c>
      <c r="D3" s="79">
        <v>300000959</v>
      </c>
      <c r="E3" s="86">
        <v>90</v>
      </c>
      <c r="F3" s="85" t="s">
        <v>20</v>
      </c>
      <c r="G3" s="80">
        <v>42979</v>
      </c>
      <c r="H3" s="9">
        <v>111.28</v>
      </c>
      <c r="I3" s="84">
        <v>280</v>
      </c>
      <c r="J3" s="84">
        <v>31158.400000000001</v>
      </c>
      <c r="K3" s="87">
        <v>42983</v>
      </c>
    </row>
    <row r="4" spans="1:15" ht="14.1" customHeight="1" x14ac:dyDescent="0.3">
      <c r="A4" s="66" t="s">
        <v>145</v>
      </c>
      <c r="B4" s="1" t="s">
        <v>43</v>
      </c>
      <c r="C4" s="82" t="s">
        <v>42</v>
      </c>
      <c r="D4" s="79">
        <v>300000960</v>
      </c>
      <c r="E4" s="86">
        <v>90</v>
      </c>
      <c r="F4" s="85" t="s">
        <v>20</v>
      </c>
      <c r="G4" s="80">
        <v>42979</v>
      </c>
      <c r="H4" s="9">
        <v>55.94</v>
      </c>
      <c r="I4" s="84">
        <v>280</v>
      </c>
      <c r="J4" s="84">
        <v>15663.199999999999</v>
      </c>
      <c r="K4" s="87">
        <v>42983</v>
      </c>
    </row>
    <row r="5" spans="1:15" ht="14.1" customHeight="1" x14ac:dyDescent="0.3">
      <c r="A5" s="48" t="s">
        <v>51</v>
      </c>
      <c r="B5" s="1" t="s">
        <v>12</v>
      </c>
      <c r="C5" s="82" t="s">
        <v>16</v>
      </c>
      <c r="D5" s="39" t="s">
        <v>231</v>
      </c>
      <c r="E5" s="86">
        <v>30</v>
      </c>
      <c r="F5" s="85" t="s">
        <v>20</v>
      </c>
      <c r="G5" s="80">
        <v>42979</v>
      </c>
      <c r="H5" s="9">
        <v>400</v>
      </c>
      <c r="I5" s="84">
        <v>135</v>
      </c>
      <c r="J5" s="84">
        <v>54000</v>
      </c>
      <c r="K5" s="87">
        <v>42983</v>
      </c>
    </row>
    <row r="6" spans="1:15" ht="14.1" customHeight="1" x14ac:dyDescent="0.25">
      <c r="A6" s="48" t="s">
        <v>73</v>
      </c>
      <c r="B6" s="1" t="s">
        <v>56</v>
      </c>
      <c r="C6" s="82" t="s">
        <v>50</v>
      </c>
      <c r="D6" s="39" t="s">
        <v>156</v>
      </c>
      <c r="E6" s="86" t="s">
        <v>158</v>
      </c>
      <c r="F6" s="85"/>
      <c r="G6" s="80">
        <v>42983</v>
      </c>
      <c r="H6" s="9">
        <v>192</v>
      </c>
      <c r="I6" s="84">
        <v>315</v>
      </c>
      <c r="J6" s="84">
        <v>60480</v>
      </c>
      <c r="K6" s="87">
        <v>42984</v>
      </c>
    </row>
    <row r="7" spans="1:15" ht="14.1" customHeight="1" x14ac:dyDescent="0.25">
      <c r="A7" s="48" t="s">
        <v>74</v>
      </c>
      <c r="B7" s="1" t="s">
        <v>56</v>
      </c>
      <c r="C7" s="82" t="s">
        <v>50</v>
      </c>
      <c r="D7" s="39" t="s">
        <v>157</v>
      </c>
      <c r="E7" s="86" t="s">
        <v>158</v>
      </c>
      <c r="F7" s="85"/>
      <c r="G7" s="80">
        <v>42983</v>
      </c>
      <c r="H7" s="9">
        <v>312</v>
      </c>
      <c r="I7" s="84">
        <v>320</v>
      </c>
      <c r="J7" s="84">
        <v>99840</v>
      </c>
      <c r="K7" s="87">
        <v>42984</v>
      </c>
    </row>
    <row r="8" spans="1:15" ht="14.1" customHeight="1" x14ac:dyDescent="0.25">
      <c r="A8" s="48" t="s">
        <v>67</v>
      </c>
      <c r="B8" s="1" t="s">
        <v>4</v>
      </c>
      <c r="C8" s="82" t="s">
        <v>245</v>
      </c>
      <c r="D8" s="39">
        <v>4200567071</v>
      </c>
      <c r="E8" s="86" t="s">
        <v>5</v>
      </c>
      <c r="F8" s="85"/>
      <c r="G8" s="80">
        <v>42986</v>
      </c>
      <c r="H8" s="9">
        <v>308</v>
      </c>
      <c r="I8" s="84">
        <v>510</v>
      </c>
      <c r="J8" s="84">
        <v>157080</v>
      </c>
      <c r="K8" s="87">
        <v>42989</v>
      </c>
    </row>
    <row r="9" spans="1:15" ht="14.1" customHeight="1" x14ac:dyDescent="0.25">
      <c r="A9" s="48" t="s">
        <v>259</v>
      </c>
      <c r="B9" s="1" t="s">
        <v>278</v>
      </c>
      <c r="C9" s="82" t="s">
        <v>277</v>
      </c>
      <c r="D9" s="80" t="s">
        <v>314</v>
      </c>
      <c r="E9" s="86" t="s">
        <v>5</v>
      </c>
      <c r="F9" s="85"/>
      <c r="G9" s="80">
        <v>42986</v>
      </c>
      <c r="H9" s="9">
        <v>165.8</v>
      </c>
      <c r="I9" s="84">
        <v>312</v>
      </c>
      <c r="J9" s="84">
        <v>51729.600000000006</v>
      </c>
      <c r="K9" s="87">
        <v>42989</v>
      </c>
    </row>
    <row r="10" spans="1:15" ht="14.1" customHeight="1" x14ac:dyDescent="0.3">
      <c r="A10" s="66" t="s">
        <v>237</v>
      </c>
      <c r="B10" s="1" t="s">
        <v>243</v>
      </c>
      <c r="C10" s="82" t="s">
        <v>247</v>
      </c>
      <c r="D10" s="79" t="s">
        <v>290</v>
      </c>
      <c r="E10" s="86">
        <v>30</v>
      </c>
      <c r="F10" s="85" t="s">
        <v>45</v>
      </c>
      <c r="G10" s="80">
        <v>42993</v>
      </c>
      <c r="H10" s="9">
        <v>500</v>
      </c>
      <c r="I10" s="84">
        <v>231</v>
      </c>
      <c r="J10" s="84">
        <v>115500</v>
      </c>
      <c r="K10" s="87">
        <v>42993</v>
      </c>
    </row>
    <row r="11" spans="1:15" ht="14.1" customHeight="1" x14ac:dyDescent="0.3">
      <c r="A11" s="66" t="s">
        <v>238</v>
      </c>
      <c r="B11" s="99" t="s">
        <v>243</v>
      </c>
      <c r="C11" s="82" t="s">
        <v>247</v>
      </c>
      <c r="D11" s="79" t="s">
        <v>291</v>
      </c>
      <c r="E11" s="86">
        <v>30</v>
      </c>
      <c r="F11" s="85" t="s">
        <v>45</v>
      </c>
      <c r="G11" s="80">
        <v>42993</v>
      </c>
      <c r="H11" s="9">
        <v>1100</v>
      </c>
      <c r="I11" s="84">
        <v>231</v>
      </c>
      <c r="J11" s="84">
        <v>254100</v>
      </c>
      <c r="K11" s="87">
        <v>42993</v>
      </c>
    </row>
    <row r="12" spans="1:15" ht="14.1" customHeight="1" x14ac:dyDescent="0.3">
      <c r="A12" s="66" t="s">
        <v>287</v>
      </c>
      <c r="B12" s="99" t="s">
        <v>243</v>
      </c>
      <c r="C12" s="82" t="s">
        <v>247</v>
      </c>
      <c r="D12" s="79" t="s">
        <v>292</v>
      </c>
      <c r="E12" s="86">
        <v>30</v>
      </c>
      <c r="F12" s="85" t="s">
        <v>45</v>
      </c>
      <c r="G12" s="80">
        <v>42993</v>
      </c>
      <c r="H12" s="9">
        <v>200</v>
      </c>
      <c r="I12" s="84">
        <v>231</v>
      </c>
      <c r="J12" s="84">
        <v>46200</v>
      </c>
      <c r="K12" s="87">
        <v>42993</v>
      </c>
    </row>
    <row r="13" spans="1:15" ht="14.1" customHeight="1" x14ac:dyDescent="0.3">
      <c r="A13" s="66" t="s">
        <v>288</v>
      </c>
      <c r="B13" s="99" t="s">
        <v>243</v>
      </c>
      <c r="C13" s="82" t="s">
        <v>247</v>
      </c>
      <c r="D13" s="79" t="s">
        <v>293</v>
      </c>
      <c r="E13" s="86">
        <v>30</v>
      </c>
      <c r="F13" s="85" t="s">
        <v>45</v>
      </c>
      <c r="G13" s="80">
        <v>42993</v>
      </c>
      <c r="H13" s="9">
        <v>400</v>
      </c>
      <c r="I13" s="84">
        <v>231</v>
      </c>
      <c r="J13" s="84">
        <v>92400</v>
      </c>
      <c r="K13" s="87">
        <v>42993</v>
      </c>
    </row>
    <row r="14" spans="1:15" s="10" customFormat="1" ht="14.1" customHeight="1" x14ac:dyDescent="0.25">
      <c r="A14" s="66" t="s">
        <v>306</v>
      </c>
      <c r="B14" s="99" t="s">
        <v>310</v>
      </c>
      <c r="C14" s="82" t="s">
        <v>311</v>
      </c>
      <c r="D14" s="79"/>
      <c r="E14" s="86" t="s">
        <v>5</v>
      </c>
      <c r="F14" s="83"/>
      <c r="G14" s="80">
        <v>43000</v>
      </c>
      <c r="H14" s="9">
        <v>100</v>
      </c>
      <c r="I14" s="84">
        <v>760</v>
      </c>
      <c r="J14" s="84">
        <v>76000</v>
      </c>
      <c r="K14" s="87">
        <v>43007</v>
      </c>
      <c r="M14" s="250"/>
    </row>
    <row r="15" spans="1:15" s="10" customFormat="1" ht="14.1" customHeight="1" x14ac:dyDescent="0.25">
      <c r="A15" s="66" t="s">
        <v>336</v>
      </c>
      <c r="B15" s="99" t="s">
        <v>6</v>
      </c>
      <c r="C15" s="82" t="s">
        <v>17</v>
      </c>
      <c r="D15" s="79"/>
      <c r="E15" s="86" t="s">
        <v>5</v>
      </c>
      <c r="F15" s="83"/>
      <c r="G15" s="80">
        <v>43004</v>
      </c>
      <c r="H15" s="9">
        <v>1000</v>
      </c>
      <c r="I15" s="84">
        <v>510</v>
      </c>
      <c r="J15" s="84">
        <f>+H15*I15*0.4</f>
        <v>204000</v>
      </c>
      <c r="K15" s="87">
        <v>43004</v>
      </c>
      <c r="L15" s="93">
        <v>0.4</v>
      </c>
      <c r="M15" s="250"/>
    </row>
    <row r="16" spans="1:15" ht="14.1" customHeight="1" x14ac:dyDescent="0.25">
      <c r="A16" s="66" t="s">
        <v>61</v>
      </c>
      <c r="B16" s="99" t="s">
        <v>6</v>
      </c>
      <c r="C16" s="82" t="s">
        <v>17</v>
      </c>
      <c r="D16" s="83" t="s">
        <v>365</v>
      </c>
      <c r="E16" s="86" t="s">
        <v>5</v>
      </c>
      <c r="F16" s="85"/>
      <c r="G16" s="80">
        <v>43007</v>
      </c>
      <c r="H16" s="9">
        <v>100</v>
      </c>
      <c r="I16" s="84">
        <v>504</v>
      </c>
      <c r="J16" s="84">
        <v>35280</v>
      </c>
      <c r="K16" s="87">
        <v>43010</v>
      </c>
      <c r="L16" s="93">
        <v>0.7</v>
      </c>
    </row>
    <row r="17" spans="1:13" ht="14.1" customHeight="1" x14ac:dyDescent="0.25">
      <c r="A17" s="66" t="s">
        <v>269</v>
      </c>
      <c r="B17" s="99" t="s">
        <v>4</v>
      </c>
      <c r="C17" s="82" t="s">
        <v>245</v>
      </c>
      <c r="D17" s="83" t="s">
        <v>367</v>
      </c>
      <c r="E17" s="86" t="s">
        <v>5</v>
      </c>
      <c r="F17" s="85"/>
      <c r="G17" s="80">
        <v>43007</v>
      </c>
      <c r="H17" s="9">
        <v>392.06200000000001</v>
      </c>
      <c r="I17" s="84">
        <v>501</v>
      </c>
      <c r="J17" s="84">
        <v>196423.06200000001</v>
      </c>
      <c r="K17" s="87">
        <v>43010</v>
      </c>
    </row>
    <row r="18" spans="1:13" ht="14.1" customHeight="1" x14ac:dyDescent="0.25">
      <c r="A18" s="66" t="s">
        <v>307</v>
      </c>
      <c r="B18" s="1" t="s">
        <v>56</v>
      </c>
      <c r="C18" s="82" t="s">
        <v>50</v>
      </c>
      <c r="D18" s="80" t="s">
        <v>364</v>
      </c>
      <c r="E18" s="86" t="s">
        <v>5</v>
      </c>
      <c r="F18" s="85"/>
      <c r="G18" s="80">
        <v>43007</v>
      </c>
      <c r="H18" s="9">
        <v>240</v>
      </c>
      <c r="I18" s="84">
        <v>315</v>
      </c>
      <c r="J18" s="84">
        <v>75600</v>
      </c>
      <c r="K18" s="87">
        <v>43010</v>
      </c>
    </row>
    <row r="19" spans="1:13" s="10" customFormat="1" ht="14.1" customHeight="1" x14ac:dyDescent="0.3">
      <c r="A19" s="66" t="s">
        <v>57</v>
      </c>
      <c r="B19" s="1" t="s">
        <v>28</v>
      </c>
      <c r="C19" s="82" t="s">
        <v>27</v>
      </c>
      <c r="D19" s="80" t="s">
        <v>369</v>
      </c>
      <c r="E19" s="86">
        <v>90</v>
      </c>
      <c r="F19" s="85" t="s">
        <v>20</v>
      </c>
      <c r="G19" s="80">
        <v>43014</v>
      </c>
      <c r="H19" s="9">
        <v>110</v>
      </c>
      <c r="I19" s="84">
        <v>237</v>
      </c>
      <c r="J19" s="84">
        <v>12944.67</v>
      </c>
      <c r="K19" s="87">
        <v>43018</v>
      </c>
      <c r="M19" s="250"/>
    </row>
    <row r="20" spans="1:13" s="10" customFormat="1" ht="14.1" customHeight="1" x14ac:dyDescent="0.3">
      <c r="A20" s="66" t="s">
        <v>240</v>
      </c>
      <c r="B20" s="1" t="s">
        <v>289</v>
      </c>
      <c r="C20" s="82" t="s">
        <v>277</v>
      </c>
      <c r="D20" s="80" t="s">
        <v>371</v>
      </c>
      <c r="E20" s="86" t="s">
        <v>5</v>
      </c>
      <c r="F20" s="85"/>
      <c r="G20" s="80">
        <v>43014</v>
      </c>
      <c r="H20" s="9">
        <v>609</v>
      </c>
      <c r="I20" s="84">
        <v>367</v>
      </c>
      <c r="J20" s="84">
        <v>223503</v>
      </c>
      <c r="K20" s="87">
        <v>43018</v>
      </c>
      <c r="M20" s="250"/>
    </row>
    <row r="21" spans="1:13" s="10" customFormat="1" ht="14.1" customHeight="1" x14ac:dyDescent="0.25">
      <c r="A21" s="66" t="s">
        <v>260</v>
      </c>
      <c r="B21" s="1" t="s">
        <v>278</v>
      </c>
      <c r="C21" s="82" t="s">
        <v>277</v>
      </c>
      <c r="D21" s="80" t="s">
        <v>368</v>
      </c>
      <c r="E21" s="86" t="s">
        <v>5</v>
      </c>
      <c r="F21" s="85"/>
      <c r="G21" s="80">
        <v>43014</v>
      </c>
      <c r="H21" s="9">
        <v>113</v>
      </c>
      <c r="I21" s="84">
        <v>312</v>
      </c>
      <c r="J21" s="84">
        <f>+H21*I21</f>
        <v>35256</v>
      </c>
      <c r="K21" s="87">
        <v>43018</v>
      </c>
      <c r="M21" s="250"/>
    </row>
    <row r="22" spans="1:13" s="10" customFormat="1" ht="14.1" customHeight="1" x14ac:dyDescent="0.25">
      <c r="A22" s="66" t="s">
        <v>270</v>
      </c>
      <c r="B22" s="1" t="s">
        <v>4</v>
      </c>
      <c r="C22" s="82" t="s">
        <v>245</v>
      </c>
      <c r="D22" s="80" t="s">
        <v>378</v>
      </c>
      <c r="E22" s="86" t="s">
        <v>5</v>
      </c>
      <c r="F22" s="85"/>
      <c r="G22" s="80">
        <v>43014</v>
      </c>
      <c r="H22" s="9">
        <v>392.07600000000002</v>
      </c>
      <c r="I22" s="84">
        <v>506</v>
      </c>
      <c r="J22" s="84">
        <v>198390.45600000001</v>
      </c>
      <c r="K22" s="87">
        <v>43018</v>
      </c>
      <c r="M22" s="250"/>
    </row>
    <row r="23" spans="1:13" s="10" customFormat="1" ht="14.1" customHeight="1" x14ac:dyDescent="0.25">
      <c r="A23" s="66" t="s">
        <v>354</v>
      </c>
      <c r="B23" s="1" t="s">
        <v>310</v>
      </c>
      <c r="C23" s="82" t="s">
        <v>311</v>
      </c>
      <c r="D23" s="80" t="s">
        <v>379</v>
      </c>
      <c r="E23" s="86" t="s">
        <v>5</v>
      </c>
      <c r="F23" s="85"/>
      <c r="G23" s="80">
        <v>43014</v>
      </c>
      <c r="H23" s="9">
        <v>50</v>
      </c>
      <c r="I23" s="84">
        <v>760</v>
      </c>
      <c r="J23" s="84">
        <v>38000</v>
      </c>
      <c r="K23" s="87">
        <v>43018</v>
      </c>
      <c r="M23" s="250"/>
    </row>
    <row r="24" spans="1:13" s="10" customFormat="1" ht="14.1" customHeight="1" x14ac:dyDescent="0.25">
      <c r="A24" s="66" t="s">
        <v>70</v>
      </c>
      <c r="B24" s="1" t="s">
        <v>12</v>
      </c>
      <c r="C24" s="82" t="s">
        <v>244</v>
      </c>
      <c r="D24" s="83">
        <v>293953</v>
      </c>
      <c r="E24" s="86" t="s">
        <v>5</v>
      </c>
      <c r="F24" s="85"/>
      <c r="G24" s="80">
        <v>43020</v>
      </c>
      <c r="H24" s="9">
        <v>300</v>
      </c>
      <c r="I24" s="84">
        <v>115</v>
      </c>
      <c r="J24" s="84">
        <v>34500</v>
      </c>
      <c r="K24" s="87">
        <v>43021</v>
      </c>
      <c r="M24" s="250"/>
    </row>
    <row r="25" spans="1:13" s="10" customFormat="1" ht="14.1" customHeight="1" x14ac:dyDescent="0.3">
      <c r="A25" s="66" t="s">
        <v>239</v>
      </c>
      <c r="B25" s="1" t="s">
        <v>289</v>
      </c>
      <c r="C25" s="82" t="s">
        <v>277</v>
      </c>
      <c r="D25" s="80" t="s">
        <v>384</v>
      </c>
      <c r="E25" s="86" t="s">
        <v>5</v>
      </c>
      <c r="F25" s="85"/>
      <c r="G25" s="80">
        <v>43020</v>
      </c>
      <c r="H25" s="9">
        <v>990</v>
      </c>
      <c r="I25" s="84">
        <v>367</v>
      </c>
      <c r="J25" s="84">
        <v>363330</v>
      </c>
      <c r="K25" s="87">
        <v>43021</v>
      </c>
      <c r="M25" s="250"/>
    </row>
    <row r="26" spans="1:13" s="10" customFormat="1" ht="14.1" customHeight="1" x14ac:dyDescent="0.3">
      <c r="A26" s="66" t="s">
        <v>272</v>
      </c>
      <c r="B26" s="1" t="s">
        <v>14</v>
      </c>
      <c r="C26" s="82" t="s">
        <v>15</v>
      </c>
      <c r="D26" s="80" t="s">
        <v>386</v>
      </c>
      <c r="E26" s="86" t="s">
        <v>5</v>
      </c>
      <c r="F26" s="85"/>
      <c r="G26" s="80">
        <v>43032</v>
      </c>
      <c r="H26" s="9">
        <v>307.8</v>
      </c>
      <c r="I26" s="84">
        <v>810</v>
      </c>
      <c r="J26" s="84">
        <f>+H26*I26</f>
        <v>249318</v>
      </c>
      <c r="K26" s="87">
        <v>43032</v>
      </c>
      <c r="M26" s="250"/>
    </row>
    <row r="27" spans="1:13" s="10" customFormat="1" ht="14.1" customHeight="1" x14ac:dyDescent="0.3">
      <c r="A27" s="66" t="s">
        <v>273</v>
      </c>
      <c r="B27" s="1" t="s">
        <v>14</v>
      </c>
      <c r="C27" s="82" t="s">
        <v>15</v>
      </c>
      <c r="D27" s="80" t="s">
        <v>385</v>
      </c>
      <c r="E27" s="86" t="s">
        <v>5</v>
      </c>
      <c r="F27" s="85"/>
      <c r="G27" s="80">
        <v>43032</v>
      </c>
      <c r="H27" s="9">
        <v>307.8</v>
      </c>
      <c r="I27" s="84">
        <v>820</v>
      </c>
      <c r="J27" s="84">
        <f>+H27*I27</f>
        <v>252396</v>
      </c>
      <c r="K27" s="87">
        <v>43032</v>
      </c>
      <c r="M27" s="250"/>
    </row>
    <row r="28" spans="1:13" s="10" customFormat="1" ht="14.1" customHeight="1" x14ac:dyDescent="0.25">
      <c r="A28" s="66" t="s">
        <v>399</v>
      </c>
      <c r="B28" s="1" t="s">
        <v>310</v>
      </c>
      <c r="C28" s="82" t="s">
        <v>311</v>
      </c>
      <c r="D28" s="80" t="s">
        <v>400</v>
      </c>
      <c r="E28" s="86" t="s">
        <v>5</v>
      </c>
      <c r="F28" s="85"/>
      <c r="G28" s="80">
        <v>43032</v>
      </c>
      <c r="H28" s="9">
        <v>150</v>
      </c>
      <c r="I28" s="84">
        <v>760</v>
      </c>
      <c r="J28" s="84">
        <f>+H28*I28</f>
        <v>114000</v>
      </c>
      <c r="K28" s="87">
        <v>43033</v>
      </c>
      <c r="M28" s="250"/>
    </row>
    <row r="29" spans="1:13" s="10" customFormat="1" ht="14.1" customHeight="1" x14ac:dyDescent="0.3">
      <c r="A29" s="66" t="s">
        <v>274</v>
      </c>
      <c r="B29" s="1" t="s">
        <v>14</v>
      </c>
      <c r="C29" s="82" t="s">
        <v>15</v>
      </c>
      <c r="D29" s="12" t="s">
        <v>402</v>
      </c>
      <c r="E29" s="86" t="s">
        <v>5</v>
      </c>
      <c r="F29" s="85"/>
      <c r="G29" s="80">
        <v>43035</v>
      </c>
      <c r="H29" s="9">
        <v>179.55</v>
      </c>
      <c r="I29" s="84">
        <v>810</v>
      </c>
      <c r="J29" s="84">
        <v>145435.5</v>
      </c>
      <c r="K29" s="87">
        <v>43035</v>
      </c>
      <c r="M29" s="250"/>
    </row>
    <row r="30" spans="1:13" s="10" customFormat="1" ht="14.1" customHeight="1" x14ac:dyDescent="0.3">
      <c r="A30" s="66" t="s">
        <v>275</v>
      </c>
      <c r="B30" s="1" t="s">
        <v>14</v>
      </c>
      <c r="C30" s="82" t="s">
        <v>15</v>
      </c>
      <c r="D30" s="12" t="s">
        <v>401</v>
      </c>
      <c r="E30" s="86" t="s">
        <v>5</v>
      </c>
      <c r="F30" s="85"/>
      <c r="G30" s="80">
        <v>43035</v>
      </c>
      <c r="H30" s="9">
        <v>230.85</v>
      </c>
      <c r="I30" s="84">
        <v>820</v>
      </c>
      <c r="J30" s="84">
        <v>189297</v>
      </c>
      <c r="K30" s="87">
        <v>43035</v>
      </c>
      <c r="M30" s="250"/>
    </row>
    <row r="31" spans="1:13" s="10" customFormat="1" ht="14.1" customHeight="1" x14ac:dyDescent="0.25">
      <c r="A31" s="66" t="s">
        <v>136</v>
      </c>
      <c r="B31" s="1" t="s">
        <v>10</v>
      </c>
      <c r="C31" s="82" t="s">
        <v>7</v>
      </c>
      <c r="D31" s="80" t="s">
        <v>407</v>
      </c>
      <c r="E31" s="86" t="s">
        <v>5</v>
      </c>
      <c r="F31" s="85"/>
      <c r="G31" s="80">
        <v>43041</v>
      </c>
      <c r="H31" s="9">
        <v>180</v>
      </c>
      <c r="I31" s="84">
        <v>255</v>
      </c>
      <c r="J31" s="84">
        <v>45900</v>
      </c>
      <c r="K31" s="87">
        <v>43014</v>
      </c>
      <c r="M31" s="250"/>
    </row>
    <row r="32" spans="1:13" s="10" customFormat="1" ht="14.1" customHeight="1" x14ac:dyDescent="0.25">
      <c r="A32" s="66" t="s">
        <v>137</v>
      </c>
      <c r="B32" s="1" t="s">
        <v>10</v>
      </c>
      <c r="C32" s="82" t="s">
        <v>7</v>
      </c>
      <c r="D32" s="80" t="s">
        <v>407</v>
      </c>
      <c r="E32" s="86" t="s">
        <v>5</v>
      </c>
      <c r="F32" s="85"/>
      <c r="G32" s="80">
        <v>43041</v>
      </c>
      <c r="H32" s="9">
        <v>180</v>
      </c>
      <c r="I32" s="84">
        <v>255</v>
      </c>
      <c r="J32" s="84">
        <v>45900</v>
      </c>
      <c r="K32" s="87">
        <v>43014</v>
      </c>
      <c r="M32" s="250"/>
    </row>
    <row r="33" spans="1:13" s="10" customFormat="1" ht="14.1" customHeight="1" x14ac:dyDescent="0.25">
      <c r="A33" s="66" t="s">
        <v>138</v>
      </c>
      <c r="B33" s="1" t="s">
        <v>10</v>
      </c>
      <c r="C33" s="82" t="s">
        <v>7</v>
      </c>
      <c r="D33" s="80" t="s">
        <v>407</v>
      </c>
      <c r="E33" s="86" t="s">
        <v>5</v>
      </c>
      <c r="F33" s="85"/>
      <c r="G33" s="80">
        <v>43041</v>
      </c>
      <c r="H33" s="9">
        <v>180</v>
      </c>
      <c r="I33" s="84">
        <v>255</v>
      </c>
      <c r="J33" s="84">
        <v>45900</v>
      </c>
      <c r="K33" s="87">
        <v>43014</v>
      </c>
      <c r="M33" s="250"/>
    </row>
    <row r="34" spans="1:13" s="10" customFormat="1" ht="14.1" customHeight="1" x14ac:dyDescent="0.25">
      <c r="A34" s="66" t="s">
        <v>139</v>
      </c>
      <c r="B34" s="1" t="s">
        <v>10</v>
      </c>
      <c r="C34" s="82" t="s">
        <v>7</v>
      </c>
      <c r="D34" s="80" t="s">
        <v>408</v>
      </c>
      <c r="E34" s="86" t="s">
        <v>5</v>
      </c>
      <c r="F34" s="85"/>
      <c r="G34" s="80">
        <v>43041</v>
      </c>
      <c r="H34" s="9">
        <v>202.5</v>
      </c>
      <c r="I34" s="84">
        <v>215</v>
      </c>
      <c r="J34" s="84">
        <v>43537.5</v>
      </c>
      <c r="K34" s="87">
        <v>43014</v>
      </c>
      <c r="M34" s="250"/>
    </row>
    <row r="35" spans="1:13" s="10" customFormat="1" ht="14.1" customHeight="1" x14ac:dyDescent="0.25">
      <c r="A35" s="66" t="s">
        <v>271</v>
      </c>
      <c r="B35" s="1" t="s">
        <v>11</v>
      </c>
      <c r="C35" s="82" t="s">
        <v>7</v>
      </c>
      <c r="D35" s="80" t="s">
        <v>409</v>
      </c>
      <c r="E35" s="86" t="s">
        <v>5</v>
      </c>
      <c r="F35" s="85"/>
      <c r="G35" s="80">
        <v>43041</v>
      </c>
      <c r="H35" s="9">
        <v>200</v>
      </c>
      <c r="I35" s="84">
        <v>300</v>
      </c>
      <c r="J35" s="84">
        <v>60000</v>
      </c>
      <c r="K35" s="87">
        <v>43014</v>
      </c>
      <c r="M35" s="250"/>
    </row>
    <row r="36" spans="1:13" s="10" customFormat="1" ht="14.1" customHeight="1" x14ac:dyDescent="0.25">
      <c r="A36" s="66" t="s">
        <v>257</v>
      </c>
      <c r="B36" s="1" t="s">
        <v>276</v>
      </c>
      <c r="C36" s="82" t="s">
        <v>277</v>
      </c>
      <c r="D36" s="80" t="s">
        <v>403</v>
      </c>
      <c r="E36" s="86" t="s">
        <v>5</v>
      </c>
      <c r="F36" s="85"/>
      <c r="G36" s="80">
        <v>43041</v>
      </c>
      <c r="H36" s="9">
        <v>360</v>
      </c>
      <c r="I36" s="84">
        <v>257</v>
      </c>
      <c r="J36" s="84">
        <v>89950</v>
      </c>
      <c r="K36" s="87">
        <v>43014</v>
      </c>
      <c r="M36" s="250"/>
    </row>
    <row r="37" spans="1:13" s="10" customFormat="1" ht="14.1" customHeight="1" x14ac:dyDescent="0.25">
      <c r="A37" s="66" t="s">
        <v>362</v>
      </c>
      <c r="B37" s="1" t="s">
        <v>243</v>
      </c>
      <c r="C37" s="82" t="s">
        <v>46</v>
      </c>
      <c r="D37" s="80"/>
      <c r="E37" s="86" t="s">
        <v>5</v>
      </c>
      <c r="F37" s="85"/>
      <c r="G37" s="80">
        <v>43046</v>
      </c>
      <c r="H37" s="9">
        <v>4000</v>
      </c>
      <c r="I37" s="84">
        <v>303</v>
      </c>
      <c r="J37" s="84">
        <v>1212000</v>
      </c>
      <c r="K37" s="87">
        <v>43048</v>
      </c>
      <c r="M37" s="250"/>
    </row>
    <row r="38" spans="1:13" s="10" customFormat="1" ht="14.1" customHeight="1" x14ac:dyDescent="0.3">
      <c r="A38" s="66" t="s">
        <v>363</v>
      </c>
      <c r="B38" s="1" t="s">
        <v>8</v>
      </c>
      <c r="C38" s="82" t="s">
        <v>46</v>
      </c>
      <c r="D38" s="80"/>
      <c r="E38" s="86" t="s">
        <v>5</v>
      </c>
      <c r="F38" s="85"/>
      <c r="G38" s="80">
        <v>43046</v>
      </c>
      <c r="H38" s="9">
        <v>4000</v>
      </c>
      <c r="I38" s="84">
        <v>385</v>
      </c>
      <c r="J38" s="84">
        <f>+H38*I38</f>
        <v>1540000</v>
      </c>
      <c r="K38" s="87">
        <v>43048</v>
      </c>
      <c r="M38" s="250"/>
    </row>
    <row r="39" spans="1:13" s="10" customFormat="1" ht="14.1" customHeight="1" x14ac:dyDescent="0.3">
      <c r="A39" s="66" t="s">
        <v>261</v>
      </c>
      <c r="B39" s="1" t="s">
        <v>281</v>
      </c>
      <c r="C39" s="82" t="s">
        <v>15</v>
      </c>
      <c r="D39" s="80">
        <v>10579</v>
      </c>
      <c r="E39" s="86" t="s">
        <v>5</v>
      </c>
      <c r="F39" s="85"/>
      <c r="G39" s="80">
        <v>43048</v>
      </c>
      <c r="H39" s="9">
        <v>110</v>
      </c>
      <c r="I39" s="84">
        <v>375</v>
      </c>
      <c r="J39" s="84">
        <v>41250</v>
      </c>
      <c r="K39" s="87">
        <v>43049</v>
      </c>
      <c r="M39" s="250"/>
    </row>
    <row r="40" spans="1:13" s="10" customFormat="1" ht="14.1" customHeight="1" x14ac:dyDescent="0.25">
      <c r="A40" s="66" t="s">
        <v>352</v>
      </c>
      <c r="B40" s="1" t="s">
        <v>359</v>
      </c>
      <c r="C40" s="82" t="s">
        <v>7</v>
      </c>
      <c r="D40" s="80" t="s">
        <v>423</v>
      </c>
      <c r="E40" s="86" t="s">
        <v>5</v>
      </c>
      <c r="F40" s="85"/>
      <c r="G40" s="80">
        <v>43048</v>
      </c>
      <c r="H40" s="9">
        <v>75</v>
      </c>
      <c r="I40" s="84">
        <v>830</v>
      </c>
      <c r="J40" s="84">
        <v>62250</v>
      </c>
      <c r="K40" s="87">
        <v>43049</v>
      </c>
      <c r="M40" s="250"/>
    </row>
    <row r="41" spans="1:13" s="10" customFormat="1" ht="14.1" customHeight="1" x14ac:dyDescent="0.25">
      <c r="A41" s="66" t="s">
        <v>258</v>
      </c>
      <c r="B41" s="1" t="s">
        <v>276</v>
      </c>
      <c r="C41" s="82" t="s">
        <v>277</v>
      </c>
      <c r="D41" s="80" t="s">
        <v>418</v>
      </c>
      <c r="E41" s="86" t="s">
        <v>5</v>
      </c>
      <c r="F41" s="85"/>
      <c r="G41" s="80">
        <v>43048</v>
      </c>
      <c r="H41" s="9">
        <v>145</v>
      </c>
      <c r="I41" s="84">
        <v>257</v>
      </c>
      <c r="J41" s="84">
        <v>37265</v>
      </c>
      <c r="K41" s="87">
        <v>43049</v>
      </c>
      <c r="M41" s="250"/>
    </row>
    <row r="42" spans="1:13" s="10" customFormat="1" ht="14.1" customHeight="1" x14ac:dyDescent="0.25">
      <c r="A42" s="66" t="s">
        <v>336</v>
      </c>
      <c r="B42" s="1" t="s">
        <v>6</v>
      </c>
      <c r="C42" s="82" t="s">
        <v>17</v>
      </c>
      <c r="D42" s="80" t="s">
        <v>428</v>
      </c>
      <c r="E42" s="86" t="s">
        <v>5</v>
      </c>
      <c r="F42" s="85"/>
      <c r="G42" s="80">
        <v>43048</v>
      </c>
      <c r="H42" s="9">
        <v>1000</v>
      </c>
      <c r="I42" s="84">
        <v>510</v>
      </c>
      <c r="J42" s="84">
        <v>153000</v>
      </c>
      <c r="K42" s="87">
        <v>43049</v>
      </c>
      <c r="L42" s="10" t="s">
        <v>429</v>
      </c>
      <c r="M42" s="250"/>
    </row>
    <row r="43" spans="1:13" s="10" customFormat="1" ht="14.1" customHeight="1" x14ac:dyDescent="0.3">
      <c r="A43" s="66" t="s">
        <v>380</v>
      </c>
      <c r="B43" s="1" t="s">
        <v>381</v>
      </c>
      <c r="C43" s="82" t="s">
        <v>46</v>
      </c>
      <c r="D43" s="80" t="s">
        <v>456</v>
      </c>
      <c r="E43" s="86" t="s">
        <v>5</v>
      </c>
      <c r="F43" s="85"/>
      <c r="G43" s="80">
        <v>43052</v>
      </c>
      <c r="H43" s="9">
        <v>5000</v>
      </c>
      <c r="I43" s="84">
        <v>150</v>
      </c>
      <c r="J43" s="84">
        <v>750000</v>
      </c>
      <c r="K43" s="87">
        <v>43053</v>
      </c>
      <c r="M43" s="250"/>
    </row>
    <row r="44" spans="1:13" s="10" customFormat="1" ht="14.1" customHeight="1" x14ac:dyDescent="0.3">
      <c r="A44" s="66" t="s">
        <v>58</v>
      </c>
      <c r="B44" s="1" t="s">
        <v>35</v>
      </c>
      <c r="C44" s="82" t="s">
        <v>47</v>
      </c>
      <c r="D44" s="80" t="s">
        <v>393</v>
      </c>
      <c r="E44" s="86">
        <v>90</v>
      </c>
      <c r="F44" s="85" t="s">
        <v>20</v>
      </c>
      <c r="G44" s="80">
        <v>43055</v>
      </c>
      <c r="H44" s="9">
        <v>24</v>
      </c>
      <c r="I44" s="84">
        <v>605</v>
      </c>
      <c r="J44" s="84">
        <v>14520</v>
      </c>
      <c r="K44" s="87">
        <v>43056</v>
      </c>
      <c r="M44" s="250"/>
    </row>
    <row r="45" spans="1:13" s="10" customFormat="1" ht="14.1" customHeight="1" x14ac:dyDescent="0.3">
      <c r="A45" s="66" t="s">
        <v>262</v>
      </c>
      <c r="B45" s="1" t="s">
        <v>281</v>
      </c>
      <c r="C45" s="82" t="s">
        <v>15</v>
      </c>
      <c r="D45" s="109">
        <v>10598</v>
      </c>
      <c r="E45" s="86" t="s">
        <v>5</v>
      </c>
      <c r="F45" s="85"/>
      <c r="G45" s="80">
        <v>43055</v>
      </c>
      <c r="H45" s="9">
        <v>220</v>
      </c>
      <c r="I45" s="84">
        <v>380</v>
      </c>
      <c r="J45" s="84">
        <v>83600</v>
      </c>
      <c r="K45" s="87">
        <v>43056</v>
      </c>
      <c r="M45" s="250"/>
    </row>
    <row r="46" spans="1:13" s="10" customFormat="1" ht="14.1" customHeight="1" x14ac:dyDescent="0.3">
      <c r="A46" s="66" t="s">
        <v>65</v>
      </c>
      <c r="B46" s="1" t="s">
        <v>35</v>
      </c>
      <c r="C46" s="82" t="s">
        <v>15</v>
      </c>
      <c r="D46" s="110">
        <v>10673</v>
      </c>
      <c r="E46" s="86" t="s">
        <v>5</v>
      </c>
      <c r="F46" s="85"/>
      <c r="G46" s="80">
        <v>43055</v>
      </c>
      <c r="H46" s="9">
        <v>200</v>
      </c>
      <c r="I46" s="84">
        <v>653</v>
      </c>
      <c r="J46" s="84">
        <v>130600</v>
      </c>
      <c r="K46" s="87">
        <v>43056</v>
      </c>
      <c r="M46" s="250"/>
    </row>
    <row r="47" spans="1:13" s="10" customFormat="1" ht="14.1" customHeight="1" x14ac:dyDescent="0.25">
      <c r="A47" s="66" t="s">
        <v>321</v>
      </c>
      <c r="B47" s="1" t="s">
        <v>11</v>
      </c>
      <c r="C47" s="82" t="s">
        <v>244</v>
      </c>
      <c r="D47" s="80" t="s">
        <v>454</v>
      </c>
      <c r="E47" s="86" t="s">
        <v>5</v>
      </c>
      <c r="F47" s="85"/>
      <c r="G47" s="80">
        <v>43055</v>
      </c>
      <c r="H47" s="9">
        <v>400.8</v>
      </c>
      <c r="I47" s="84">
        <v>282</v>
      </c>
      <c r="J47" s="84">
        <v>113025.60000000001</v>
      </c>
      <c r="K47" s="87">
        <v>43056</v>
      </c>
      <c r="M47" s="250"/>
    </row>
    <row r="48" spans="1:13" s="10" customFormat="1" ht="14.1" customHeight="1" x14ac:dyDescent="0.25">
      <c r="A48" s="66" t="s">
        <v>71</v>
      </c>
      <c r="B48" s="1" t="s">
        <v>6</v>
      </c>
      <c r="C48" s="82" t="s">
        <v>7</v>
      </c>
      <c r="D48" s="80" t="s">
        <v>453</v>
      </c>
      <c r="E48" s="86" t="s">
        <v>5</v>
      </c>
      <c r="F48" s="85"/>
      <c r="G48" s="80">
        <v>43055</v>
      </c>
      <c r="H48" s="9">
        <v>1000</v>
      </c>
      <c r="I48" s="84">
        <v>505</v>
      </c>
      <c r="J48" s="84">
        <v>505000</v>
      </c>
      <c r="K48" s="87">
        <v>43056</v>
      </c>
      <c r="M48" s="250"/>
    </row>
    <row r="49" spans="1:13" s="10" customFormat="1" ht="14.1" customHeight="1" x14ac:dyDescent="0.25">
      <c r="A49" s="66" t="s">
        <v>351</v>
      </c>
      <c r="B49" s="1" t="s">
        <v>359</v>
      </c>
      <c r="C49" s="82" t="s">
        <v>7</v>
      </c>
      <c r="D49" s="109">
        <v>20171315</v>
      </c>
      <c r="E49" s="86" t="s">
        <v>5</v>
      </c>
      <c r="F49" s="85"/>
      <c r="G49" s="80">
        <v>43055</v>
      </c>
      <c r="H49" s="9">
        <v>125</v>
      </c>
      <c r="I49" s="84">
        <v>825</v>
      </c>
      <c r="J49" s="84">
        <v>103125</v>
      </c>
      <c r="K49" s="87">
        <v>43056</v>
      </c>
      <c r="M49" s="250"/>
    </row>
    <row r="50" spans="1:13" s="10" customFormat="1" ht="14.1" customHeight="1" x14ac:dyDescent="0.25">
      <c r="A50" s="66" t="s">
        <v>439</v>
      </c>
      <c r="B50" s="1" t="s">
        <v>6</v>
      </c>
      <c r="C50" s="82" t="s">
        <v>17</v>
      </c>
      <c r="D50" s="109">
        <v>17110020</v>
      </c>
      <c r="E50" s="86" t="s">
        <v>5</v>
      </c>
      <c r="F50" s="85"/>
      <c r="G50" s="80">
        <v>43055</v>
      </c>
      <c r="H50" s="9">
        <v>500</v>
      </c>
      <c r="I50" s="84">
        <v>510</v>
      </c>
      <c r="J50" s="84">
        <v>153000</v>
      </c>
      <c r="K50" s="87">
        <v>43056</v>
      </c>
      <c r="L50" s="10" t="s">
        <v>429</v>
      </c>
      <c r="M50" s="250"/>
    </row>
    <row r="51" spans="1:13" s="10" customFormat="1" ht="14.1" customHeight="1" x14ac:dyDescent="0.25">
      <c r="A51" s="66" t="s">
        <v>308</v>
      </c>
      <c r="B51" s="1" t="s">
        <v>56</v>
      </c>
      <c r="C51" s="82" t="s">
        <v>50</v>
      </c>
      <c r="D51" s="109" t="s">
        <v>395</v>
      </c>
      <c r="E51" s="86" t="s">
        <v>5</v>
      </c>
      <c r="F51" s="85"/>
      <c r="G51" s="80">
        <v>43059</v>
      </c>
      <c r="H51" s="9">
        <v>168</v>
      </c>
      <c r="I51" s="84">
        <v>315</v>
      </c>
      <c r="J51" s="84">
        <v>52920</v>
      </c>
      <c r="K51" s="87">
        <v>43066</v>
      </c>
      <c r="M51" s="250"/>
    </row>
    <row r="52" spans="1:13" s="10" customFormat="1" ht="14.1" customHeight="1" x14ac:dyDescent="0.25">
      <c r="A52" s="66" t="s">
        <v>309</v>
      </c>
      <c r="B52" s="1" t="s">
        <v>56</v>
      </c>
      <c r="C52" s="82" t="s">
        <v>50</v>
      </c>
      <c r="D52" s="109" t="s">
        <v>396</v>
      </c>
      <c r="E52" s="86" t="s">
        <v>5</v>
      </c>
      <c r="F52" s="85"/>
      <c r="G52" s="80">
        <v>43059</v>
      </c>
      <c r="H52" s="9">
        <v>96</v>
      </c>
      <c r="I52" s="84">
        <v>320</v>
      </c>
      <c r="J52" s="84">
        <v>30720</v>
      </c>
      <c r="K52" s="87">
        <v>43066</v>
      </c>
      <c r="M52" s="250"/>
    </row>
    <row r="53" spans="1:13" s="10" customFormat="1" ht="14.1" customHeight="1" x14ac:dyDescent="0.25">
      <c r="A53" s="66" t="s">
        <v>312</v>
      </c>
      <c r="B53" s="1" t="s">
        <v>56</v>
      </c>
      <c r="C53" s="82" t="s">
        <v>50</v>
      </c>
      <c r="D53" s="109" t="s">
        <v>397</v>
      </c>
      <c r="E53" s="86" t="s">
        <v>5</v>
      </c>
      <c r="F53" s="85"/>
      <c r="G53" s="80">
        <v>43059</v>
      </c>
      <c r="H53" s="9">
        <v>96</v>
      </c>
      <c r="I53" s="84">
        <v>315</v>
      </c>
      <c r="J53" s="84">
        <v>30240</v>
      </c>
      <c r="K53" s="87">
        <v>43066</v>
      </c>
      <c r="M53" s="250"/>
    </row>
    <row r="54" spans="1:13" s="10" customFormat="1" ht="14.1" customHeight="1" x14ac:dyDescent="0.25">
      <c r="A54" s="66" t="s">
        <v>313</v>
      </c>
      <c r="B54" s="1" t="s">
        <v>56</v>
      </c>
      <c r="C54" s="82" t="s">
        <v>50</v>
      </c>
      <c r="D54" s="109" t="s">
        <v>398</v>
      </c>
      <c r="E54" s="86" t="s">
        <v>5</v>
      </c>
      <c r="F54" s="85"/>
      <c r="G54" s="80">
        <v>43059</v>
      </c>
      <c r="H54" s="9">
        <v>144</v>
      </c>
      <c r="I54" s="84">
        <v>320</v>
      </c>
      <c r="J54" s="84">
        <v>46080</v>
      </c>
      <c r="K54" s="87">
        <v>43066</v>
      </c>
      <c r="M54" s="250"/>
    </row>
    <row r="55" spans="1:13" s="10" customFormat="1" ht="14.1" customHeight="1" x14ac:dyDescent="0.3">
      <c r="A55" s="66" t="s">
        <v>232</v>
      </c>
      <c r="B55" s="1" t="s">
        <v>35</v>
      </c>
      <c r="C55" s="82" t="s">
        <v>47</v>
      </c>
      <c r="D55" s="109" t="s">
        <v>392</v>
      </c>
      <c r="E55" s="86">
        <v>90</v>
      </c>
      <c r="F55" s="85" t="s">
        <v>20</v>
      </c>
      <c r="G55" s="80">
        <v>43062</v>
      </c>
      <c r="H55" s="9">
        <v>72</v>
      </c>
      <c r="I55" s="84">
        <v>625</v>
      </c>
      <c r="J55" s="84">
        <v>45000</v>
      </c>
      <c r="K55" s="87">
        <v>43066</v>
      </c>
      <c r="M55" s="250"/>
    </row>
    <row r="56" spans="1:13" s="10" customFormat="1" ht="14.1" customHeight="1" x14ac:dyDescent="0.3">
      <c r="A56" s="66" t="s">
        <v>68</v>
      </c>
      <c r="B56" s="1" t="s">
        <v>4</v>
      </c>
      <c r="C56" s="82" t="s">
        <v>246</v>
      </c>
      <c r="D56" s="109">
        <v>3300007923</v>
      </c>
      <c r="E56" s="86">
        <v>60</v>
      </c>
      <c r="F56" s="85" t="s">
        <v>20</v>
      </c>
      <c r="G56" s="80">
        <v>43062</v>
      </c>
      <c r="H56" s="9">
        <v>307.64506</v>
      </c>
      <c r="I56" s="84">
        <v>505</v>
      </c>
      <c r="J56" s="84">
        <v>155360.75529999999</v>
      </c>
      <c r="K56" s="87">
        <v>43066</v>
      </c>
      <c r="M56" s="250"/>
    </row>
    <row r="57" spans="1:13" s="10" customFormat="1" ht="14.1" customHeight="1" x14ac:dyDescent="0.3">
      <c r="A57" s="66" t="s">
        <v>66</v>
      </c>
      <c r="B57" s="1" t="s">
        <v>35</v>
      </c>
      <c r="C57" s="82" t="s">
        <v>15</v>
      </c>
      <c r="D57" s="109" t="s">
        <v>481</v>
      </c>
      <c r="E57" s="86" t="s">
        <v>5</v>
      </c>
      <c r="F57" s="85"/>
      <c r="G57" s="80">
        <v>43062</v>
      </c>
      <c r="H57" s="9">
        <v>200</v>
      </c>
      <c r="I57" s="84">
        <v>653</v>
      </c>
      <c r="J57" s="84">
        <v>130600</v>
      </c>
      <c r="K57" s="87">
        <v>43066</v>
      </c>
      <c r="M57" s="250"/>
    </row>
    <row r="58" spans="1:13" s="10" customFormat="1" ht="14.1" customHeight="1" x14ac:dyDescent="0.3">
      <c r="A58" s="66" t="s">
        <v>69</v>
      </c>
      <c r="B58" s="1" t="s">
        <v>279</v>
      </c>
      <c r="C58" s="82" t="s">
        <v>280</v>
      </c>
      <c r="D58" s="109" t="s">
        <v>286</v>
      </c>
      <c r="E58" s="86">
        <v>60</v>
      </c>
      <c r="F58" s="85" t="s">
        <v>20</v>
      </c>
      <c r="G58" s="80">
        <v>43066</v>
      </c>
      <c r="H58" s="9">
        <v>199.5</v>
      </c>
      <c r="I58" s="84">
        <v>165</v>
      </c>
      <c r="J58" s="84">
        <f>+I58*H58</f>
        <v>32917.5</v>
      </c>
      <c r="K58" s="87">
        <v>43067</v>
      </c>
      <c r="M58" s="250"/>
    </row>
    <row r="59" spans="1:13" s="10" customFormat="1" ht="14.1" customHeight="1" x14ac:dyDescent="0.3">
      <c r="A59" s="66" t="s">
        <v>48</v>
      </c>
      <c r="B59" s="1" t="s">
        <v>6</v>
      </c>
      <c r="C59" s="82" t="s">
        <v>7</v>
      </c>
      <c r="D59" s="109">
        <v>20171109</v>
      </c>
      <c r="E59" s="86">
        <v>90</v>
      </c>
      <c r="F59" s="85" t="s">
        <v>20</v>
      </c>
      <c r="G59" s="80">
        <v>43073</v>
      </c>
      <c r="H59" s="9">
        <v>250</v>
      </c>
      <c r="I59" s="84">
        <v>505</v>
      </c>
      <c r="J59" s="84">
        <f>+I59*H59</f>
        <v>126250</v>
      </c>
      <c r="K59" s="87">
        <v>43073</v>
      </c>
      <c r="M59" s="250"/>
    </row>
    <row r="60" spans="1:13" s="10" customFormat="1" ht="14.1" customHeight="1" x14ac:dyDescent="0.25">
      <c r="A60" s="552" t="s">
        <v>517</v>
      </c>
      <c r="B60" s="553"/>
      <c r="C60" s="82" t="s">
        <v>512</v>
      </c>
      <c r="D60" s="109"/>
      <c r="E60" s="86" t="s">
        <v>5</v>
      </c>
      <c r="F60" s="85"/>
      <c r="G60" s="80">
        <v>43076</v>
      </c>
      <c r="H60" s="9"/>
      <c r="I60" s="84"/>
      <c r="J60" s="84">
        <v>431250</v>
      </c>
      <c r="K60" s="87">
        <v>43076</v>
      </c>
      <c r="M60" s="250"/>
    </row>
    <row r="61" spans="1:13" s="10" customFormat="1" ht="14.1" customHeight="1" x14ac:dyDescent="0.3">
      <c r="A61" s="66" t="s">
        <v>233</v>
      </c>
      <c r="B61" s="1" t="s">
        <v>241</v>
      </c>
      <c r="C61" s="82" t="s">
        <v>42</v>
      </c>
      <c r="D61" s="109">
        <v>300002291</v>
      </c>
      <c r="E61" s="86">
        <v>90</v>
      </c>
      <c r="F61" s="85" t="s">
        <v>20</v>
      </c>
      <c r="G61" s="80">
        <v>43076</v>
      </c>
      <c r="H61" s="9">
        <v>195.84</v>
      </c>
      <c r="I61" s="84">
        <v>280</v>
      </c>
      <c r="J61" s="84">
        <f>+I61*H61</f>
        <v>54835.200000000004</v>
      </c>
      <c r="K61" s="87">
        <v>43080</v>
      </c>
      <c r="M61" s="250"/>
    </row>
    <row r="62" spans="1:13" s="10" customFormat="1" ht="14.1" customHeight="1" x14ac:dyDescent="0.3">
      <c r="A62" s="66" t="s">
        <v>234</v>
      </c>
      <c r="B62" s="1" t="s">
        <v>241</v>
      </c>
      <c r="C62" s="82" t="s">
        <v>42</v>
      </c>
      <c r="D62" s="109">
        <v>300002290</v>
      </c>
      <c r="E62" s="86">
        <v>90</v>
      </c>
      <c r="F62" s="85" t="s">
        <v>20</v>
      </c>
      <c r="G62" s="80">
        <v>43076</v>
      </c>
      <c r="H62" s="9">
        <v>111.86</v>
      </c>
      <c r="I62" s="84">
        <v>280</v>
      </c>
      <c r="J62" s="84">
        <f>+I62*H62</f>
        <v>31320.799999999999</v>
      </c>
      <c r="K62" s="87">
        <v>43080</v>
      </c>
      <c r="M62" s="250"/>
    </row>
    <row r="63" spans="1:13" s="10" customFormat="1" ht="14.1" customHeight="1" x14ac:dyDescent="0.3">
      <c r="A63" s="66" t="s">
        <v>235</v>
      </c>
      <c r="B63" s="1" t="s">
        <v>242</v>
      </c>
      <c r="C63" s="82" t="s">
        <v>42</v>
      </c>
      <c r="D63" s="109">
        <v>300002289</v>
      </c>
      <c r="E63" s="86">
        <v>90</v>
      </c>
      <c r="F63" s="85" t="s">
        <v>20</v>
      </c>
      <c r="G63" s="80">
        <v>43076</v>
      </c>
      <c r="H63" s="9">
        <v>27.94</v>
      </c>
      <c r="I63" s="84">
        <v>270</v>
      </c>
      <c r="J63" s="84">
        <f>+I63*H63</f>
        <v>7543.8</v>
      </c>
      <c r="K63" s="87">
        <v>43080</v>
      </c>
      <c r="M63" s="250"/>
    </row>
    <row r="64" spans="1:13" s="10" customFormat="1" ht="14.1" customHeight="1" x14ac:dyDescent="0.3">
      <c r="A64" s="66" t="s">
        <v>236</v>
      </c>
      <c r="B64" s="1" t="s">
        <v>242</v>
      </c>
      <c r="C64" s="82" t="s">
        <v>42</v>
      </c>
      <c r="D64" s="109">
        <v>300002365</v>
      </c>
      <c r="E64" s="86">
        <v>90</v>
      </c>
      <c r="F64" s="85" t="s">
        <v>20</v>
      </c>
      <c r="G64" s="80">
        <v>43076</v>
      </c>
      <c r="H64" s="9">
        <v>28</v>
      </c>
      <c r="I64" s="84">
        <v>270</v>
      </c>
      <c r="J64" s="84">
        <f>+I64*H64</f>
        <v>7560</v>
      </c>
      <c r="K64" s="87">
        <v>43080</v>
      </c>
      <c r="M64" s="250"/>
    </row>
    <row r="65" spans="1:13" s="10" customFormat="1" ht="14.1" customHeight="1" x14ac:dyDescent="0.3">
      <c r="A65" s="66" t="s">
        <v>495</v>
      </c>
      <c r="B65" s="1" t="s">
        <v>8</v>
      </c>
      <c r="C65" s="82" t="s">
        <v>494</v>
      </c>
      <c r="D65" s="109" t="s">
        <v>456</v>
      </c>
      <c r="E65" s="86" t="s">
        <v>5</v>
      </c>
      <c r="F65" s="85"/>
      <c r="G65" s="80">
        <v>43080</v>
      </c>
      <c r="H65" s="9">
        <v>5500</v>
      </c>
      <c r="I65" s="84">
        <v>414.5</v>
      </c>
      <c r="J65" s="84">
        <f>+H65*I65</f>
        <v>2279750</v>
      </c>
      <c r="K65" s="87">
        <v>43082</v>
      </c>
      <c r="M65" s="250"/>
    </row>
    <row r="66" spans="1:13" s="10" customFormat="1" ht="14.1" customHeight="1" x14ac:dyDescent="0.3">
      <c r="A66" s="66" t="s">
        <v>496</v>
      </c>
      <c r="B66" s="1" t="s">
        <v>381</v>
      </c>
      <c r="C66" s="82" t="s">
        <v>494</v>
      </c>
      <c r="D66" s="109" t="s">
        <v>456</v>
      </c>
      <c r="E66" s="86" t="s">
        <v>5</v>
      </c>
      <c r="F66" s="85"/>
      <c r="G66" s="80">
        <v>43080</v>
      </c>
      <c r="H66" s="9">
        <v>1430</v>
      </c>
      <c r="I66" s="84">
        <v>152</v>
      </c>
      <c r="J66" s="84">
        <f>+H66*I66</f>
        <v>217360</v>
      </c>
      <c r="K66" s="87">
        <v>43083</v>
      </c>
      <c r="M66" s="250"/>
    </row>
    <row r="67" spans="1:13" s="10" customFormat="1" ht="14.1" customHeight="1" x14ac:dyDescent="0.25">
      <c r="A67" s="66" t="s">
        <v>353</v>
      </c>
      <c r="B67" s="1" t="s">
        <v>6</v>
      </c>
      <c r="C67" s="82" t="s">
        <v>7</v>
      </c>
      <c r="D67" s="109">
        <v>20171400</v>
      </c>
      <c r="E67" s="86" t="s">
        <v>5</v>
      </c>
      <c r="F67" s="85"/>
      <c r="G67" s="80">
        <v>43083</v>
      </c>
      <c r="H67" s="9">
        <v>1500</v>
      </c>
      <c r="I67" s="84">
        <v>505</v>
      </c>
      <c r="J67" s="84">
        <f>+H67*I67</f>
        <v>757500</v>
      </c>
      <c r="K67" s="87">
        <v>43084</v>
      </c>
      <c r="M67" s="250"/>
    </row>
    <row r="68" spans="1:13" s="10" customFormat="1" ht="14.1" customHeight="1" x14ac:dyDescent="0.25">
      <c r="A68" s="66" t="s">
        <v>444</v>
      </c>
      <c r="B68" s="1" t="s">
        <v>56</v>
      </c>
      <c r="C68" s="82" t="s">
        <v>50</v>
      </c>
      <c r="D68" s="109" t="s">
        <v>527</v>
      </c>
      <c r="E68" s="86" t="s">
        <v>5</v>
      </c>
      <c r="F68" s="85"/>
      <c r="G68" s="80">
        <v>43083</v>
      </c>
      <c r="H68" s="9">
        <v>312</v>
      </c>
      <c r="I68" s="84">
        <v>320</v>
      </c>
      <c r="J68" s="84">
        <f>+H68*I68</f>
        <v>99840</v>
      </c>
      <c r="K68" s="87">
        <v>43087</v>
      </c>
      <c r="M68" s="250"/>
    </row>
    <row r="69" spans="1:13" s="10" customFormat="1" ht="14.1" customHeight="1" x14ac:dyDescent="0.3">
      <c r="A69" s="66" t="s">
        <v>141</v>
      </c>
      <c r="B69" s="1" t="s">
        <v>6</v>
      </c>
      <c r="C69" s="82" t="s">
        <v>7</v>
      </c>
      <c r="D69" s="109" t="s">
        <v>394</v>
      </c>
      <c r="E69" s="86">
        <v>90</v>
      </c>
      <c r="F69" s="85" t="s">
        <v>20</v>
      </c>
      <c r="G69" s="80">
        <v>43090</v>
      </c>
      <c r="H69" s="9">
        <v>250</v>
      </c>
      <c r="I69" s="84">
        <v>505</v>
      </c>
      <c r="J69" s="84">
        <f>+I69*H69</f>
        <v>126250</v>
      </c>
      <c r="K69" s="87">
        <v>43090</v>
      </c>
      <c r="L69" s="250" t="s">
        <v>499</v>
      </c>
      <c r="M69" s="250"/>
    </row>
    <row r="70" spans="1:13" s="10" customFormat="1" ht="14.1" customHeight="1" x14ac:dyDescent="0.25">
      <c r="A70" s="66" t="s">
        <v>440</v>
      </c>
      <c r="B70" s="1" t="s">
        <v>243</v>
      </c>
      <c r="C70" s="82" t="s">
        <v>46</v>
      </c>
      <c r="D70" s="109" t="s">
        <v>552</v>
      </c>
      <c r="E70" s="86" t="s">
        <v>5</v>
      </c>
      <c r="F70" s="85"/>
      <c r="G70" s="80">
        <v>43091</v>
      </c>
      <c r="H70" s="9">
        <v>4000</v>
      </c>
      <c r="I70" s="84">
        <v>307.5</v>
      </c>
      <c r="J70" s="84">
        <f>+H70*I70</f>
        <v>1230000</v>
      </c>
      <c r="K70" s="87">
        <v>43091</v>
      </c>
      <c r="M70" s="250"/>
    </row>
    <row r="71" spans="1:13" s="10" customFormat="1" ht="14.1" customHeight="1" x14ac:dyDescent="0.25">
      <c r="A71" s="66" t="s">
        <v>441</v>
      </c>
      <c r="B71" s="1" t="s">
        <v>32</v>
      </c>
      <c r="C71" s="82" t="s">
        <v>46</v>
      </c>
      <c r="D71" s="109" t="s">
        <v>552</v>
      </c>
      <c r="E71" s="86" t="s">
        <v>5</v>
      </c>
      <c r="F71" s="85"/>
      <c r="G71" s="80">
        <v>43091</v>
      </c>
      <c r="H71" s="9">
        <v>2750</v>
      </c>
      <c r="I71" s="84">
        <v>318.5</v>
      </c>
      <c r="J71" s="84">
        <f>+H71*I71</f>
        <v>875875</v>
      </c>
      <c r="K71" s="87">
        <v>43091</v>
      </c>
      <c r="M71" s="250"/>
    </row>
    <row r="72" spans="1:13" s="10" customFormat="1" ht="14.1" customHeight="1" x14ac:dyDescent="0.25">
      <c r="A72" s="552" t="s">
        <v>554</v>
      </c>
      <c r="B72" s="553"/>
      <c r="C72" s="82" t="s">
        <v>553</v>
      </c>
      <c r="D72" s="109" t="s">
        <v>552</v>
      </c>
      <c r="E72" s="86" t="s">
        <v>5</v>
      </c>
      <c r="F72" s="85"/>
      <c r="G72" s="80">
        <v>43091</v>
      </c>
      <c r="H72" s="9"/>
      <c r="I72" s="84"/>
      <c r="J72" s="84">
        <v>316914.19549999997</v>
      </c>
      <c r="K72" s="87">
        <v>43091</v>
      </c>
      <c r="L72" s="10" t="s">
        <v>536</v>
      </c>
      <c r="M72" s="250"/>
    </row>
    <row r="73" spans="1:13" s="10" customFormat="1" ht="14.1" customHeight="1" x14ac:dyDescent="0.25">
      <c r="A73" s="66" t="s">
        <v>435</v>
      </c>
      <c r="B73" s="1" t="s">
        <v>241</v>
      </c>
      <c r="C73" s="82" t="s">
        <v>42</v>
      </c>
      <c r="D73" s="109">
        <v>300004820</v>
      </c>
      <c r="E73" s="86" t="s">
        <v>5</v>
      </c>
      <c r="F73" s="85"/>
      <c r="G73" s="80">
        <v>43091</v>
      </c>
      <c r="H73" s="9">
        <v>195.71</v>
      </c>
      <c r="I73" s="84">
        <v>230</v>
      </c>
      <c r="J73" s="84">
        <f>+H73*I73</f>
        <v>45013.3</v>
      </c>
      <c r="K73" s="87">
        <v>43095</v>
      </c>
      <c r="M73" s="250"/>
    </row>
    <row r="74" spans="1:13" s="10" customFormat="1" ht="14.1" customHeight="1" x14ac:dyDescent="0.3">
      <c r="A74" s="66" t="s">
        <v>442</v>
      </c>
      <c r="B74" s="1" t="s">
        <v>448</v>
      </c>
      <c r="C74" s="82" t="s">
        <v>512</v>
      </c>
      <c r="D74" s="109"/>
      <c r="E74" s="86" t="s">
        <v>5</v>
      </c>
      <c r="F74" s="85"/>
      <c r="G74" s="80">
        <v>43095</v>
      </c>
      <c r="H74" s="9">
        <v>3934.1</v>
      </c>
      <c r="I74" s="84">
        <f>284.5-49.5</f>
        <v>235</v>
      </c>
      <c r="J74" s="84">
        <f>+H74*I74</f>
        <v>924513.5</v>
      </c>
      <c r="K74" s="87">
        <v>43097</v>
      </c>
      <c r="L74" s="10" t="s">
        <v>535</v>
      </c>
      <c r="M74" s="250"/>
    </row>
    <row r="75" spans="1:13" s="10" customFormat="1" ht="14.1" customHeight="1" x14ac:dyDescent="0.25">
      <c r="A75" s="66" t="s">
        <v>443</v>
      </c>
      <c r="B75" s="1" t="s">
        <v>449</v>
      </c>
      <c r="C75" s="82" t="s">
        <v>512</v>
      </c>
      <c r="D75" s="109"/>
      <c r="E75" s="86" t="s">
        <v>5</v>
      </c>
      <c r="F75" s="85"/>
      <c r="G75" s="80">
        <v>43095</v>
      </c>
      <c r="H75" s="9">
        <v>2500.7060000000001</v>
      </c>
      <c r="I75" s="84">
        <f>269.5-49.5</f>
        <v>220</v>
      </c>
      <c r="J75" s="84">
        <f>+H75*I75</f>
        <v>550155.32000000007</v>
      </c>
      <c r="K75" s="87">
        <v>43097</v>
      </c>
      <c r="L75" s="10" t="s">
        <v>534</v>
      </c>
      <c r="M75" s="250"/>
    </row>
    <row r="76" spans="1:13" s="10" customFormat="1" ht="14.1" customHeight="1" x14ac:dyDescent="0.3">
      <c r="A76" s="66" t="s">
        <v>265</v>
      </c>
      <c r="B76" s="1" t="s">
        <v>282</v>
      </c>
      <c r="C76" s="82" t="s">
        <v>42</v>
      </c>
      <c r="D76" s="109" t="s">
        <v>498</v>
      </c>
      <c r="E76" s="86">
        <v>90</v>
      </c>
      <c r="F76" s="85" t="s">
        <v>20</v>
      </c>
      <c r="G76" s="80">
        <v>43097</v>
      </c>
      <c r="H76" s="9">
        <v>6</v>
      </c>
      <c r="I76" s="84">
        <v>1820</v>
      </c>
      <c r="J76" s="84">
        <f>+I76*H76</f>
        <v>10920</v>
      </c>
      <c r="K76" s="87">
        <v>43098</v>
      </c>
      <c r="M76" s="250"/>
    </row>
    <row r="77" spans="1:13" s="10" customFormat="1" ht="14.1" customHeight="1" x14ac:dyDescent="0.3">
      <c r="A77" s="66" t="s">
        <v>266</v>
      </c>
      <c r="B77" s="1" t="s">
        <v>283</v>
      </c>
      <c r="C77" s="82" t="s">
        <v>42</v>
      </c>
      <c r="D77" s="109" t="s">
        <v>498</v>
      </c>
      <c r="E77" s="86">
        <v>90</v>
      </c>
      <c r="F77" s="85" t="s">
        <v>20</v>
      </c>
      <c r="G77" s="80">
        <v>43097</v>
      </c>
      <c r="H77" s="9">
        <v>6</v>
      </c>
      <c r="I77" s="84">
        <v>1810</v>
      </c>
      <c r="J77" s="84">
        <f>+I77*H77</f>
        <v>10860</v>
      </c>
      <c r="K77" s="87">
        <v>43098</v>
      </c>
      <c r="M77" s="250"/>
    </row>
    <row r="78" spans="1:13" s="10" customFormat="1" ht="14.1" customHeight="1" x14ac:dyDescent="0.3">
      <c r="A78" s="66" t="s">
        <v>267</v>
      </c>
      <c r="B78" s="1" t="s">
        <v>284</v>
      </c>
      <c r="C78" s="82" t="s">
        <v>42</v>
      </c>
      <c r="D78" s="109" t="s">
        <v>498</v>
      </c>
      <c r="E78" s="86">
        <v>90</v>
      </c>
      <c r="F78" s="85" t="s">
        <v>20</v>
      </c>
      <c r="G78" s="80">
        <v>43097</v>
      </c>
      <c r="H78" s="9">
        <v>6</v>
      </c>
      <c r="I78" s="84">
        <v>1890</v>
      </c>
      <c r="J78" s="84">
        <f>+I78*H78</f>
        <v>11340</v>
      </c>
      <c r="K78" s="87">
        <v>43098</v>
      </c>
      <c r="M78" s="250"/>
    </row>
    <row r="79" spans="1:13" s="10" customFormat="1" ht="14.1" customHeight="1" x14ac:dyDescent="0.3">
      <c r="A79" s="66" t="s">
        <v>268</v>
      </c>
      <c r="B79" s="1" t="s">
        <v>285</v>
      </c>
      <c r="C79" s="82" t="s">
        <v>42</v>
      </c>
      <c r="D79" s="109" t="s">
        <v>498</v>
      </c>
      <c r="E79" s="86">
        <v>90</v>
      </c>
      <c r="F79" s="85" t="s">
        <v>20</v>
      </c>
      <c r="G79" s="80">
        <v>43097</v>
      </c>
      <c r="H79" s="9">
        <v>6</v>
      </c>
      <c r="I79" s="84">
        <v>1530</v>
      </c>
      <c r="J79" s="84">
        <f>+I79*H79</f>
        <v>9180</v>
      </c>
      <c r="K79" s="87">
        <v>43098</v>
      </c>
      <c r="M79" s="250"/>
    </row>
    <row r="80" spans="1:13" s="10" customFormat="1" ht="14.1" customHeight="1" x14ac:dyDescent="0.3">
      <c r="A80" s="66" t="s">
        <v>142</v>
      </c>
      <c r="B80" s="1" t="s">
        <v>6</v>
      </c>
      <c r="C80" s="82" t="s">
        <v>7</v>
      </c>
      <c r="D80" s="109">
        <v>20171226</v>
      </c>
      <c r="E80" s="86">
        <v>90</v>
      </c>
      <c r="F80" s="85" t="s">
        <v>20</v>
      </c>
      <c r="G80" s="80">
        <v>43108</v>
      </c>
      <c r="H80" s="9">
        <v>250</v>
      </c>
      <c r="I80" s="84">
        <v>505</v>
      </c>
      <c r="J80" s="84">
        <f>+I80*H80</f>
        <v>126250</v>
      </c>
      <c r="K80" s="87">
        <v>43108</v>
      </c>
      <c r="L80" s="10" t="s">
        <v>499</v>
      </c>
      <c r="M80" s="250"/>
    </row>
    <row r="81" spans="1:13" s="10" customFormat="1" ht="14.1" customHeight="1" x14ac:dyDescent="0.3">
      <c r="A81" s="66" t="s">
        <v>586</v>
      </c>
      <c r="B81" s="1" t="s">
        <v>6</v>
      </c>
      <c r="C81" s="82" t="s">
        <v>17</v>
      </c>
      <c r="D81" s="109" t="s">
        <v>590</v>
      </c>
      <c r="E81" s="86">
        <v>60</v>
      </c>
      <c r="F81" s="85" t="s">
        <v>20</v>
      </c>
      <c r="G81" s="80">
        <v>43110</v>
      </c>
      <c r="H81" s="9">
        <v>150</v>
      </c>
      <c r="I81" s="84">
        <v>526</v>
      </c>
      <c r="J81" s="84">
        <f>+H81*I81*0.3</f>
        <v>23670</v>
      </c>
      <c r="K81" s="87">
        <v>43110</v>
      </c>
      <c r="L81" s="10">
        <v>0.3</v>
      </c>
      <c r="M81" s="250"/>
    </row>
    <row r="82" spans="1:13" s="10" customFormat="1" ht="14.1" customHeight="1" x14ac:dyDescent="0.25">
      <c r="A82" s="66" t="s">
        <v>436</v>
      </c>
      <c r="B82" s="1" t="s">
        <v>241</v>
      </c>
      <c r="C82" s="82" t="s">
        <v>42</v>
      </c>
      <c r="D82" s="109">
        <v>300005261</v>
      </c>
      <c r="E82" s="86" t="s">
        <v>5</v>
      </c>
      <c r="F82" s="85"/>
      <c r="G82" s="80">
        <v>43111</v>
      </c>
      <c r="H82" s="9">
        <v>195.62</v>
      </c>
      <c r="I82" s="84">
        <v>230</v>
      </c>
      <c r="J82" s="84">
        <f>+H82*I82</f>
        <v>44992.6</v>
      </c>
      <c r="K82" s="87">
        <v>43112</v>
      </c>
      <c r="M82" s="250"/>
    </row>
    <row r="83" spans="1:13" s="10" customFormat="1" ht="14.1" customHeight="1" x14ac:dyDescent="0.25">
      <c r="A83" s="66" t="s">
        <v>604</v>
      </c>
      <c r="B83" s="1" t="s">
        <v>6</v>
      </c>
      <c r="C83" s="82" t="s">
        <v>17</v>
      </c>
      <c r="D83" s="109"/>
      <c r="E83" s="86" t="s">
        <v>5</v>
      </c>
      <c r="F83" s="85"/>
      <c r="G83" s="80">
        <v>43116</v>
      </c>
      <c r="H83" s="9">
        <v>500</v>
      </c>
      <c r="I83" s="84">
        <v>501</v>
      </c>
      <c r="J83" s="84">
        <f>+H83*I83*0.3</f>
        <v>75150</v>
      </c>
      <c r="K83" s="87">
        <v>43117</v>
      </c>
      <c r="L83" s="10">
        <v>0.3</v>
      </c>
      <c r="M83" s="250"/>
    </row>
    <row r="84" spans="1:13" s="10" customFormat="1" ht="13.5" customHeight="1" x14ac:dyDescent="0.3">
      <c r="A84" s="66" t="s">
        <v>322</v>
      </c>
      <c r="B84" s="1" t="s">
        <v>326</v>
      </c>
      <c r="C84" s="82" t="s">
        <v>327</v>
      </c>
      <c r="D84" s="109" t="s">
        <v>455</v>
      </c>
      <c r="E84" s="86">
        <v>90</v>
      </c>
      <c r="F84" s="85" t="s">
        <v>20</v>
      </c>
      <c r="G84" s="80">
        <v>43119</v>
      </c>
      <c r="H84" s="9">
        <v>100</v>
      </c>
      <c r="I84" s="84">
        <v>486</v>
      </c>
      <c r="J84" s="84">
        <f>+H84*I84</f>
        <v>48600</v>
      </c>
      <c r="K84" s="87">
        <v>43119</v>
      </c>
      <c r="M84" s="250"/>
    </row>
    <row r="85" spans="1:13" s="10" customFormat="1" ht="13.5" customHeight="1" x14ac:dyDescent="0.3">
      <c r="A85" s="66" t="s">
        <v>611</v>
      </c>
      <c r="B85" s="1" t="s">
        <v>14</v>
      </c>
      <c r="C85" s="82" t="s">
        <v>15</v>
      </c>
      <c r="D85" s="109">
        <v>20213</v>
      </c>
      <c r="E85" s="86" t="s">
        <v>5</v>
      </c>
      <c r="F85" s="85"/>
      <c r="G85" s="80">
        <v>43118</v>
      </c>
      <c r="H85" s="9">
        <v>51.3</v>
      </c>
      <c r="I85" s="84">
        <v>876</v>
      </c>
      <c r="J85" s="84">
        <v>44938.799999999996</v>
      </c>
      <c r="K85" s="87">
        <v>43119</v>
      </c>
      <c r="M85" s="250"/>
    </row>
    <row r="86" spans="1:13" s="10" customFormat="1" ht="13.5" customHeight="1" x14ac:dyDescent="0.3">
      <c r="A86" s="66" t="s">
        <v>482</v>
      </c>
      <c r="B86" s="1" t="s">
        <v>14</v>
      </c>
      <c r="C86" s="82" t="s">
        <v>15</v>
      </c>
      <c r="D86" s="109">
        <v>20215</v>
      </c>
      <c r="E86" s="86" t="s">
        <v>5</v>
      </c>
      <c r="F86" s="85"/>
      <c r="G86" s="80">
        <v>43118</v>
      </c>
      <c r="H86" s="9">
        <v>307.8</v>
      </c>
      <c r="I86" s="84">
        <v>886</v>
      </c>
      <c r="J86" s="84">
        <v>272710.8</v>
      </c>
      <c r="K86" s="87">
        <v>43119</v>
      </c>
      <c r="M86" s="250"/>
    </row>
    <row r="87" spans="1:13" s="10" customFormat="1" ht="13.5" customHeight="1" x14ac:dyDescent="0.25">
      <c r="A87" s="66" t="s">
        <v>514</v>
      </c>
      <c r="B87" s="1"/>
      <c r="C87" s="82" t="s">
        <v>15</v>
      </c>
      <c r="D87" s="109" t="s">
        <v>515</v>
      </c>
      <c r="E87" s="86"/>
      <c r="F87" s="85"/>
      <c r="G87" s="80">
        <v>43118</v>
      </c>
      <c r="H87" s="9"/>
      <c r="I87" s="84"/>
      <c r="J87" s="84">
        <v>-3830</v>
      </c>
      <c r="K87" s="87">
        <v>43119</v>
      </c>
      <c r="M87" s="250"/>
    </row>
    <row r="88" spans="1:13" s="10" customFormat="1" ht="13.5" customHeight="1" x14ac:dyDescent="0.25">
      <c r="A88" s="66" t="s">
        <v>514</v>
      </c>
      <c r="B88" s="1"/>
      <c r="C88" s="82" t="s">
        <v>15</v>
      </c>
      <c r="D88" s="109" t="s">
        <v>516</v>
      </c>
      <c r="E88" s="86"/>
      <c r="F88" s="85"/>
      <c r="G88" s="80">
        <v>43118</v>
      </c>
      <c r="H88" s="9"/>
      <c r="I88" s="84"/>
      <c r="J88" s="84">
        <v>-5900</v>
      </c>
      <c r="K88" s="87">
        <v>43119</v>
      </c>
      <c r="M88" s="250"/>
    </row>
    <row r="89" spans="1:13" s="10" customFormat="1" ht="14.1" customHeight="1" x14ac:dyDescent="0.3">
      <c r="A89" s="66" t="s">
        <v>263</v>
      </c>
      <c r="B89" s="1" t="s">
        <v>241</v>
      </c>
      <c r="C89" s="82" t="s">
        <v>42</v>
      </c>
      <c r="D89" s="109">
        <v>300002954</v>
      </c>
      <c r="E89" s="86">
        <v>90</v>
      </c>
      <c r="F89" s="85" t="s">
        <v>20</v>
      </c>
      <c r="G89" s="80">
        <v>43119</v>
      </c>
      <c r="H89" s="9">
        <v>195.84</v>
      </c>
      <c r="I89" s="84">
        <v>280</v>
      </c>
      <c r="J89" s="84">
        <v>54835.200000000004</v>
      </c>
      <c r="K89" s="87">
        <v>43122</v>
      </c>
      <c r="M89" s="250"/>
    </row>
    <row r="90" spans="1:13" s="10" customFormat="1" ht="14.1" customHeight="1" x14ac:dyDescent="0.3">
      <c r="A90" s="66" t="s">
        <v>264</v>
      </c>
      <c r="B90" s="1" t="s">
        <v>241</v>
      </c>
      <c r="C90" s="82" t="s">
        <v>42</v>
      </c>
      <c r="D90" s="109">
        <v>300003215</v>
      </c>
      <c r="E90" s="86">
        <v>90</v>
      </c>
      <c r="F90" s="85" t="s">
        <v>20</v>
      </c>
      <c r="G90" s="80">
        <v>43119</v>
      </c>
      <c r="H90" s="9">
        <v>99.88</v>
      </c>
      <c r="I90" s="84">
        <v>280</v>
      </c>
      <c r="J90" s="84">
        <v>27966.399999999998</v>
      </c>
      <c r="K90" s="87">
        <v>43122</v>
      </c>
      <c r="M90" s="250"/>
    </row>
    <row r="91" spans="1:13" s="10" customFormat="1" ht="14.1" customHeight="1" x14ac:dyDescent="0.3">
      <c r="A91" s="66" t="s">
        <v>355</v>
      </c>
      <c r="B91" s="1" t="s">
        <v>360</v>
      </c>
      <c r="C91" s="82" t="s">
        <v>361</v>
      </c>
      <c r="D91" s="109">
        <v>201752573</v>
      </c>
      <c r="E91" s="86">
        <v>90</v>
      </c>
      <c r="F91" s="85" t="s">
        <v>20</v>
      </c>
      <c r="G91" s="80">
        <v>43119</v>
      </c>
      <c r="H91" s="9">
        <v>24</v>
      </c>
      <c r="I91" s="84">
        <v>1250</v>
      </c>
      <c r="J91" s="84">
        <f>+H91*I91</f>
        <v>30000</v>
      </c>
      <c r="K91" s="87">
        <v>43028</v>
      </c>
      <c r="M91" s="250"/>
    </row>
    <row r="92" spans="1:13" s="10" customFormat="1" ht="13.5" customHeight="1" x14ac:dyDescent="0.3">
      <c r="A92" s="66" t="s">
        <v>612</v>
      </c>
      <c r="B92" s="1" t="s">
        <v>14</v>
      </c>
      <c r="C92" s="82" t="s">
        <v>15</v>
      </c>
      <c r="D92" s="109">
        <v>20265</v>
      </c>
      <c r="E92" s="86" t="s">
        <v>5</v>
      </c>
      <c r="F92" s="85"/>
      <c r="G92" s="80">
        <v>43118</v>
      </c>
      <c r="H92" s="9">
        <v>256.5</v>
      </c>
      <c r="I92" s="84">
        <v>876</v>
      </c>
      <c r="J92" s="84">
        <f>+H92*I92</f>
        <v>224694</v>
      </c>
      <c r="K92" s="87">
        <v>43123</v>
      </c>
      <c r="M92" s="250"/>
    </row>
    <row r="93" spans="1:13" s="10" customFormat="1" ht="13.5" customHeight="1" x14ac:dyDescent="0.3">
      <c r="A93" s="66" t="s">
        <v>62</v>
      </c>
      <c r="B93" s="1" t="s">
        <v>10</v>
      </c>
      <c r="C93" s="82" t="s">
        <v>7</v>
      </c>
      <c r="D93" s="109" t="s">
        <v>452</v>
      </c>
      <c r="E93" s="86">
        <v>90</v>
      </c>
      <c r="F93" s="85" t="s">
        <v>20</v>
      </c>
      <c r="G93" s="80">
        <f>+K93+E93</f>
        <v>43214</v>
      </c>
      <c r="H93" s="9">
        <v>540</v>
      </c>
      <c r="I93" s="84">
        <v>285</v>
      </c>
      <c r="J93" s="84">
        <f>+I93*H93</f>
        <v>153900</v>
      </c>
      <c r="K93" s="87">
        <v>43124</v>
      </c>
      <c r="M93" s="250"/>
    </row>
    <row r="94" spans="1:13" s="10" customFormat="1" ht="13.5" customHeight="1" x14ac:dyDescent="0.3">
      <c r="A94" s="66" t="s">
        <v>356</v>
      </c>
      <c r="B94" s="1" t="s">
        <v>360</v>
      </c>
      <c r="C94" s="82" t="s">
        <v>361</v>
      </c>
      <c r="D94" s="109">
        <v>201752610</v>
      </c>
      <c r="E94" s="86">
        <v>90</v>
      </c>
      <c r="F94" s="85" t="s">
        <v>20</v>
      </c>
      <c r="G94" s="80">
        <f>+K94+E94</f>
        <v>43214</v>
      </c>
      <c r="H94" s="9">
        <v>73.5</v>
      </c>
      <c r="I94" s="84">
        <v>1255</v>
      </c>
      <c r="J94" s="84">
        <f>+H94*I94</f>
        <v>92242.5</v>
      </c>
      <c r="K94" s="87">
        <v>43124</v>
      </c>
      <c r="M94" s="250"/>
    </row>
    <row r="95" spans="1:13" s="10" customFormat="1" ht="13.5" customHeight="1" x14ac:dyDescent="0.3">
      <c r="A95" s="66" t="s">
        <v>483</v>
      </c>
      <c r="B95" s="1" t="s">
        <v>14</v>
      </c>
      <c r="C95" s="82" t="s">
        <v>15</v>
      </c>
      <c r="D95" s="109">
        <v>20310</v>
      </c>
      <c r="E95" s="86" t="s">
        <v>5</v>
      </c>
      <c r="F95" s="85"/>
      <c r="G95" s="80">
        <v>43125</v>
      </c>
      <c r="H95" s="9">
        <v>307.8</v>
      </c>
      <c r="I95" s="84">
        <v>876</v>
      </c>
      <c r="J95" s="84">
        <f>+H95*I95</f>
        <v>269632.8</v>
      </c>
      <c r="K95" s="87">
        <v>43126</v>
      </c>
      <c r="M95" s="250"/>
    </row>
    <row r="96" spans="1:13" s="10" customFormat="1" ht="13.5" customHeight="1" x14ac:dyDescent="0.3">
      <c r="A96" s="66" t="s">
        <v>484</v>
      </c>
      <c r="B96" s="1" t="s">
        <v>14</v>
      </c>
      <c r="C96" s="82" t="s">
        <v>15</v>
      </c>
      <c r="D96" s="109">
        <v>20309</v>
      </c>
      <c r="E96" s="86" t="s">
        <v>5</v>
      </c>
      <c r="F96" s="85"/>
      <c r="G96" s="80">
        <v>43125</v>
      </c>
      <c r="H96" s="9">
        <v>307.8</v>
      </c>
      <c r="I96" s="84">
        <v>886</v>
      </c>
      <c r="J96" s="84">
        <f>+H96*I96</f>
        <v>272710.8</v>
      </c>
      <c r="K96" s="87">
        <v>43126</v>
      </c>
      <c r="M96" s="250"/>
    </row>
    <row r="97" spans="1:13" s="10" customFormat="1" ht="13.5" customHeight="1" x14ac:dyDescent="0.3">
      <c r="A97" s="66" t="s">
        <v>430</v>
      </c>
      <c r="B97" s="1" t="s">
        <v>445</v>
      </c>
      <c r="C97" s="82" t="s">
        <v>44</v>
      </c>
      <c r="D97" s="109" t="s">
        <v>605</v>
      </c>
      <c r="E97" s="86">
        <v>90</v>
      </c>
      <c r="F97" s="85" t="s">
        <v>20</v>
      </c>
      <c r="G97" s="80">
        <v>43131</v>
      </c>
      <c r="H97" s="9">
        <v>4.5350000000000001</v>
      </c>
      <c r="I97" s="84">
        <v>2352.753087100331</v>
      </c>
      <c r="J97" s="84">
        <v>10669.735250000002</v>
      </c>
      <c r="K97" s="87">
        <v>43041</v>
      </c>
      <c r="M97" s="250"/>
    </row>
    <row r="98" spans="1:13" s="10" customFormat="1" ht="13.5" customHeight="1" x14ac:dyDescent="0.3">
      <c r="A98" s="66" t="s">
        <v>431</v>
      </c>
      <c r="B98" s="1" t="s">
        <v>446</v>
      </c>
      <c r="C98" s="82" t="s">
        <v>44</v>
      </c>
      <c r="D98" s="109" t="s">
        <v>605</v>
      </c>
      <c r="E98" s="86">
        <v>90</v>
      </c>
      <c r="F98" s="85" t="s">
        <v>20</v>
      </c>
      <c r="G98" s="80">
        <v>43131</v>
      </c>
      <c r="H98" s="9">
        <v>6.8025000000000002</v>
      </c>
      <c r="I98" s="84">
        <v>2378.7730871003309</v>
      </c>
      <c r="J98" s="84">
        <v>16181.603925000001</v>
      </c>
      <c r="K98" s="87">
        <v>43041</v>
      </c>
      <c r="M98" s="250"/>
    </row>
    <row r="99" spans="1:13" s="10" customFormat="1" ht="13.5" customHeight="1" x14ac:dyDescent="0.3">
      <c r="A99" s="66" t="s">
        <v>432</v>
      </c>
      <c r="B99" s="1" t="s">
        <v>447</v>
      </c>
      <c r="C99" s="82" t="s">
        <v>44</v>
      </c>
      <c r="D99" s="109" t="s">
        <v>605</v>
      </c>
      <c r="E99" s="86">
        <v>90</v>
      </c>
      <c r="F99" s="85" t="s">
        <v>20</v>
      </c>
      <c r="G99" s="80">
        <v>43131</v>
      </c>
      <c r="H99" s="9">
        <v>6.8025000000000002</v>
      </c>
      <c r="I99" s="84">
        <v>2261.463087100331</v>
      </c>
      <c r="J99" s="84">
        <v>15383.602650000003</v>
      </c>
      <c r="K99" s="87">
        <v>43041</v>
      </c>
      <c r="M99" s="250"/>
    </row>
    <row r="100" spans="1:13" s="10" customFormat="1" ht="13.5" customHeight="1" x14ac:dyDescent="0.25">
      <c r="A100" s="66" t="s">
        <v>574</v>
      </c>
      <c r="B100" s="1" t="s">
        <v>243</v>
      </c>
      <c r="C100" s="82" t="s">
        <v>46</v>
      </c>
      <c r="D100" s="109" t="s">
        <v>552</v>
      </c>
      <c r="E100" s="86" t="s">
        <v>5</v>
      </c>
      <c r="F100" s="85"/>
      <c r="G100" s="80">
        <v>43132</v>
      </c>
      <c r="H100" s="9">
        <v>2000</v>
      </c>
      <c r="I100" s="84">
        <v>276</v>
      </c>
      <c r="J100" s="84">
        <v>552000</v>
      </c>
      <c r="K100" s="87">
        <v>43121</v>
      </c>
      <c r="M100" s="250"/>
    </row>
    <row r="101" spans="1:13" s="10" customFormat="1" ht="13.5" customHeight="1" x14ac:dyDescent="0.3">
      <c r="A101" s="66" t="s">
        <v>143</v>
      </c>
      <c r="B101" s="1" t="s">
        <v>6</v>
      </c>
      <c r="C101" s="82" t="s">
        <v>7</v>
      </c>
      <c r="D101" s="109" t="s">
        <v>450</v>
      </c>
      <c r="E101" s="86">
        <v>90</v>
      </c>
      <c r="F101" s="85" t="s">
        <v>20</v>
      </c>
      <c r="G101" s="80">
        <v>43129</v>
      </c>
      <c r="H101" s="9">
        <v>250</v>
      </c>
      <c r="I101" s="84">
        <v>505</v>
      </c>
      <c r="J101" s="84">
        <f>+I101*H101</f>
        <v>126250</v>
      </c>
      <c r="K101" s="87">
        <v>43129</v>
      </c>
      <c r="L101" s="10" t="s">
        <v>499</v>
      </c>
      <c r="M101" s="250"/>
    </row>
    <row r="102" spans="1:13" s="10" customFormat="1" ht="13.5" customHeight="1" x14ac:dyDescent="0.25">
      <c r="A102" s="66" t="s">
        <v>561</v>
      </c>
      <c r="B102" s="1" t="s">
        <v>359</v>
      </c>
      <c r="C102" s="82" t="s">
        <v>7</v>
      </c>
      <c r="D102" s="109"/>
      <c r="E102" s="86" t="s">
        <v>5</v>
      </c>
      <c r="F102" s="85"/>
      <c r="G102" s="80">
        <v>43131</v>
      </c>
      <c r="H102" s="9">
        <v>100</v>
      </c>
      <c r="I102" s="84">
        <v>841</v>
      </c>
      <c r="J102" s="84">
        <v>84100</v>
      </c>
      <c r="K102" s="87">
        <v>43131</v>
      </c>
      <c r="M102" s="250"/>
    </row>
    <row r="103" spans="1:13" s="10" customFormat="1" ht="13.5" customHeight="1" x14ac:dyDescent="0.25">
      <c r="A103" s="66" t="s">
        <v>437</v>
      </c>
      <c r="B103" s="1" t="s">
        <v>241</v>
      </c>
      <c r="C103" s="82" t="s">
        <v>42</v>
      </c>
      <c r="D103" s="109">
        <v>301000027</v>
      </c>
      <c r="E103" s="86" t="s">
        <v>5</v>
      </c>
      <c r="F103" s="85"/>
      <c r="G103" s="80">
        <v>43137</v>
      </c>
      <c r="H103" s="9">
        <v>99.88</v>
      </c>
      <c r="I103" s="84">
        <v>230</v>
      </c>
      <c r="J103" s="84">
        <f>+H103*I103</f>
        <v>22972.399999999998</v>
      </c>
      <c r="K103" s="87">
        <v>43130</v>
      </c>
      <c r="M103" s="250"/>
    </row>
    <row r="104" spans="1:13" s="10" customFormat="1" ht="13.5" customHeight="1" x14ac:dyDescent="0.25">
      <c r="A104" s="66" t="s">
        <v>438</v>
      </c>
      <c r="B104" s="1" t="s">
        <v>241</v>
      </c>
      <c r="C104" s="82" t="s">
        <v>42</v>
      </c>
      <c r="D104" s="109">
        <v>301000026</v>
      </c>
      <c r="E104" s="86" t="s">
        <v>5</v>
      </c>
      <c r="F104" s="85"/>
      <c r="G104" s="80">
        <v>43137</v>
      </c>
      <c r="H104" s="9">
        <v>99.96</v>
      </c>
      <c r="I104" s="84">
        <v>230</v>
      </c>
      <c r="J104" s="84">
        <f>+H104*I104</f>
        <v>22990.799999999999</v>
      </c>
      <c r="K104" s="87">
        <v>43130</v>
      </c>
      <c r="M104" s="250"/>
    </row>
    <row r="105" spans="1:13" s="10" customFormat="1" ht="13.5" customHeight="1" x14ac:dyDescent="0.3">
      <c r="A105" s="66" t="s">
        <v>451</v>
      </c>
      <c r="B105" s="1" t="s">
        <v>6</v>
      </c>
      <c r="C105" s="82" t="s">
        <v>7</v>
      </c>
      <c r="D105" s="109" t="s">
        <v>497</v>
      </c>
      <c r="E105" s="86">
        <v>90</v>
      </c>
      <c r="F105" s="85" t="s">
        <v>20</v>
      </c>
      <c r="G105" s="80">
        <f>+K105+90</f>
        <v>43226</v>
      </c>
      <c r="H105" s="9">
        <v>250</v>
      </c>
      <c r="I105" s="84">
        <v>505</v>
      </c>
      <c r="J105" s="84">
        <f>+I105*H105</f>
        <v>126250</v>
      </c>
      <c r="K105" s="87">
        <v>43136</v>
      </c>
      <c r="L105" s="10" t="s">
        <v>499</v>
      </c>
      <c r="M105" s="250"/>
    </row>
    <row r="106" spans="1:13" s="10" customFormat="1" ht="13.5" customHeight="1" x14ac:dyDescent="0.25">
      <c r="A106" s="66" t="s">
        <v>586</v>
      </c>
      <c r="B106" s="1" t="s">
        <v>6</v>
      </c>
      <c r="C106" s="82" t="s">
        <v>17</v>
      </c>
      <c r="D106" s="109"/>
      <c r="E106" s="86" t="s">
        <v>5</v>
      </c>
      <c r="F106" s="85"/>
      <c r="G106" s="80">
        <v>43137</v>
      </c>
      <c r="H106" s="9">
        <v>150</v>
      </c>
      <c r="I106" s="84">
        <v>526</v>
      </c>
      <c r="J106" s="84">
        <f>+I106*H106*L106</f>
        <v>55230</v>
      </c>
      <c r="K106" s="87">
        <v>43140</v>
      </c>
      <c r="L106" s="10">
        <v>0.7</v>
      </c>
      <c r="M106" s="250"/>
    </row>
    <row r="107" spans="1:13" s="10" customFormat="1" ht="13.5" customHeight="1" x14ac:dyDescent="0.25">
      <c r="A107" s="66" t="s">
        <v>604</v>
      </c>
      <c r="B107" s="1" t="s">
        <v>6</v>
      </c>
      <c r="C107" s="82" t="s">
        <v>17</v>
      </c>
      <c r="D107" s="109"/>
      <c r="E107" s="86" t="s">
        <v>5</v>
      </c>
      <c r="F107" s="85"/>
      <c r="G107" s="80">
        <v>43137</v>
      </c>
      <c r="H107" s="9">
        <v>500</v>
      </c>
      <c r="I107" s="84">
        <v>501</v>
      </c>
      <c r="J107" s="84">
        <f>+H107*I107*L107</f>
        <v>175350</v>
      </c>
      <c r="K107" s="87">
        <v>43145</v>
      </c>
      <c r="L107" s="10">
        <v>0.7</v>
      </c>
      <c r="M107" s="250"/>
    </row>
    <row r="108" spans="1:13" s="10" customFormat="1" ht="13.5" customHeight="1" x14ac:dyDescent="0.25">
      <c r="A108" s="66" t="s">
        <v>654</v>
      </c>
      <c r="B108" s="1" t="s">
        <v>4</v>
      </c>
      <c r="C108" s="82" t="s">
        <v>17</v>
      </c>
      <c r="D108" s="109"/>
      <c r="E108" s="86" t="s">
        <v>5</v>
      </c>
      <c r="F108" s="85"/>
      <c r="G108" s="80">
        <v>43147</v>
      </c>
      <c r="H108" s="9">
        <v>408</v>
      </c>
      <c r="I108" s="84">
        <v>498</v>
      </c>
      <c r="J108" s="84">
        <f>+H108*I108*0.3</f>
        <v>60955.199999999997</v>
      </c>
      <c r="K108" s="87">
        <v>43146</v>
      </c>
      <c r="L108" s="10">
        <v>0.3</v>
      </c>
      <c r="M108" s="250"/>
    </row>
    <row r="109" spans="1:13" s="10" customFormat="1" ht="13.5" customHeight="1" x14ac:dyDescent="0.25">
      <c r="A109" s="66" t="s">
        <v>655</v>
      </c>
      <c r="B109" s="1" t="s">
        <v>4</v>
      </c>
      <c r="C109" s="82" t="s">
        <v>17</v>
      </c>
      <c r="D109" s="109"/>
      <c r="E109" s="86" t="s">
        <v>5</v>
      </c>
      <c r="F109" s="85"/>
      <c r="G109" s="80">
        <v>43147</v>
      </c>
      <c r="H109" s="9">
        <v>408</v>
      </c>
      <c r="I109" s="84">
        <v>508</v>
      </c>
      <c r="J109" s="84">
        <f>+H109*I109*0.3</f>
        <v>62179.199999999997</v>
      </c>
      <c r="K109" s="87">
        <v>43146</v>
      </c>
      <c r="L109" s="10">
        <v>0.3</v>
      </c>
      <c r="M109" s="250"/>
    </row>
    <row r="110" spans="1:13" s="10" customFormat="1" ht="13.5" customHeight="1" x14ac:dyDescent="0.25">
      <c r="A110" s="66" t="s">
        <v>572</v>
      </c>
      <c r="B110" s="1" t="s">
        <v>4</v>
      </c>
      <c r="C110" s="82" t="s">
        <v>245</v>
      </c>
      <c r="D110" s="109"/>
      <c r="E110" s="86" t="s">
        <v>5</v>
      </c>
      <c r="F110" s="85"/>
      <c r="G110" s="80">
        <v>43150</v>
      </c>
      <c r="H110" s="9">
        <v>504.14</v>
      </c>
      <c r="I110" s="84">
        <v>510</v>
      </c>
      <c r="J110" s="84">
        <v>257111.4</v>
      </c>
      <c r="K110" s="87">
        <v>43151</v>
      </c>
      <c r="M110" s="250"/>
    </row>
    <row r="111" spans="1:13" s="10" customFormat="1" ht="13.5" customHeight="1" x14ac:dyDescent="0.3">
      <c r="A111" s="66" t="s">
        <v>485</v>
      </c>
      <c r="B111" s="1" t="s">
        <v>12</v>
      </c>
      <c r="C111" s="82" t="s">
        <v>280</v>
      </c>
      <c r="D111" s="109"/>
      <c r="E111" s="86">
        <v>60</v>
      </c>
      <c r="F111" s="85" t="s">
        <v>20</v>
      </c>
      <c r="G111" s="80">
        <v>43150</v>
      </c>
      <c r="H111" s="9">
        <v>900</v>
      </c>
      <c r="I111" s="84">
        <v>146</v>
      </c>
      <c r="J111" s="84">
        <v>131400</v>
      </c>
      <c r="K111" s="87">
        <v>43151</v>
      </c>
      <c r="M111" s="250"/>
    </row>
    <row r="112" spans="1:13" s="10" customFormat="1" ht="13.5" customHeight="1" x14ac:dyDescent="0.3">
      <c r="A112" s="66" t="s">
        <v>433</v>
      </c>
      <c r="B112" s="1" t="s">
        <v>241</v>
      </c>
      <c r="C112" s="82" t="s">
        <v>42</v>
      </c>
      <c r="D112" s="109">
        <v>300003899</v>
      </c>
      <c r="E112" s="86">
        <v>90</v>
      </c>
      <c r="F112" s="85" t="s">
        <v>20</v>
      </c>
      <c r="G112" s="80">
        <v>43152</v>
      </c>
      <c r="H112" s="9">
        <v>195.68</v>
      </c>
      <c r="I112" s="84">
        <v>230</v>
      </c>
      <c r="J112" s="84">
        <f>+I112*H112</f>
        <v>45006.400000000001</v>
      </c>
      <c r="K112" s="87">
        <v>43153</v>
      </c>
      <c r="M112" s="250"/>
    </row>
    <row r="113" spans="1:13" s="10" customFormat="1" ht="13.5" customHeight="1" x14ac:dyDescent="0.3">
      <c r="A113" s="66" t="s">
        <v>434</v>
      </c>
      <c r="B113" s="1" t="s">
        <v>241</v>
      </c>
      <c r="C113" s="82" t="s">
        <v>42</v>
      </c>
      <c r="D113" s="109">
        <v>300003900</v>
      </c>
      <c r="E113" s="86">
        <v>90</v>
      </c>
      <c r="F113" s="85" t="s">
        <v>20</v>
      </c>
      <c r="G113" s="80">
        <v>43152</v>
      </c>
      <c r="H113" s="9">
        <v>195.71</v>
      </c>
      <c r="I113" s="84">
        <v>230</v>
      </c>
      <c r="J113" s="84">
        <f>+I113*H113</f>
        <v>45013.3</v>
      </c>
      <c r="K113" s="87">
        <v>43153</v>
      </c>
      <c r="M113" s="250"/>
    </row>
    <row r="114" spans="1:13" s="10" customFormat="1" ht="13.5" customHeight="1" x14ac:dyDescent="0.25">
      <c r="A114" s="66" t="s">
        <v>560</v>
      </c>
      <c r="B114" s="1" t="s">
        <v>359</v>
      </c>
      <c r="C114" s="82" t="s">
        <v>7</v>
      </c>
      <c r="D114" s="109">
        <v>20180169</v>
      </c>
      <c r="E114" s="86" t="s">
        <v>5</v>
      </c>
      <c r="F114" s="85"/>
      <c r="G114" s="80">
        <v>43153</v>
      </c>
      <c r="H114" s="9">
        <v>100</v>
      </c>
      <c r="I114" s="84">
        <v>836</v>
      </c>
      <c r="J114" s="84">
        <f>+I114*H114</f>
        <v>83600</v>
      </c>
      <c r="K114" s="87">
        <v>43153</v>
      </c>
      <c r="M114" s="250"/>
    </row>
    <row r="115" spans="1:13" s="10" customFormat="1" ht="13.5" customHeight="1" x14ac:dyDescent="0.25">
      <c r="A115" s="66" t="s">
        <v>562</v>
      </c>
      <c r="B115" s="1" t="s">
        <v>359</v>
      </c>
      <c r="C115" s="82" t="s">
        <v>7</v>
      </c>
      <c r="D115" s="109">
        <v>20180170</v>
      </c>
      <c r="E115" s="86" t="s">
        <v>5</v>
      </c>
      <c r="F115" s="85"/>
      <c r="G115" s="80">
        <v>43153</v>
      </c>
      <c r="H115" s="9">
        <v>100</v>
      </c>
      <c r="I115" s="84">
        <v>849</v>
      </c>
      <c r="J115" s="84">
        <f>+I115*H115</f>
        <v>84900</v>
      </c>
      <c r="K115" s="87">
        <v>43153</v>
      </c>
      <c r="M115" s="250"/>
    </row>
    <row r="116" spans="1:13" s="10" customFormat="1" ht="13.5" customHeight="1" x14ac:dyDescent="0.25">
      <c r="A116" s="66" t="s">
        <v>563</v>
      </c>
      <c r="B116" s="1" t="s">
        <v>359</v>
      </c>
      <c r="C116" s="82" t="s">
        <v>7</v>
      </c>
      <c r="D116" s="109">
        <v>20180171</v>
      </c>
      <c r="E116" s="86" t="s">
        <v>5</v>
      </c>
      <c r="F116" s="85"/>
      <c r="G116" s="80">
        <v>43153</v>
      </c>
      <c r="H116" s="9">
        <v>100</v>
      </c>
      <c r="I116" s="84">
        <v>854</v>
      </c>
      <c r="J116" s="84">
        <f>+I116*H116</f>
        <v>85400</v>
      </c>
      <c r="K116" s="87">
        <v>43153</v>
      </c>
      <c r="M116" s="250"/>
    </row>
    <row r="117" spans="1:13" s="10" customFormat="1" ht="13.5" customHeight="1" x14ac:dyDescent="0.3">
      <c r="A117" s="66" t="s">
        <v>486</v>
      </c>
      <c r="B117" s="1" t="s">
        <v>12</v>
      </c>
      <c r="C117" s="82" t="s">
        <v>280</v>
      </c>
      <c r="D117" s="109" t="s">
        <v>676</v>
      </c>
      <c r="E117" s="86">
        <v>60</v>
      </c>
      <c r="F117" s="85" t="s">
        <v>20</v>
      </c>
      <c r="G117" s="80">
        <v>43160</v>
      </c>
      <c r="H117" s="9">
        <v>399</v>
      </c>
      <c r="I117" s="84">
        <v>169</v>
      </c>
      <c r="J117" s="84">
        <f>+H117*I117</f>
        <v>67431</v>
      </c>
      <c r="K117" s="87">
        <v>43164</v>
      </c>
      <c r="M117" s="250"/>
    </row>
    <row r="118" spans="1:13" s="10" customFormat="1" ht="13.5" customHeight="1" x14ac:dyDescent="0.25">
      <c r="A118" s="66" t="s">
        <v>564</v>
      </c>
      <c r="B118" s="1" t="s">
        <v>359</v>
      </c>
      <c r="C118" s="82" t="s">
        <v>7</v>
      </c>
      <c r="D118" s="109">
        <v>20180210</v>
      </c>
      <c r="E118" s="86" t="s">
        <v>5</v>
      </c>
      <c r="F118" s="85"/>
      <c r="G118" s="80">
        <v>43164</v>
      </c>
      <c r="H118" s="9">
        <v>100</v>
      </c>
      <c r="I118" s="84">
        <v>849</v>
      </c>
      <c r="J118" s="84">
        <f>+H118*I118</f>
        <v>84900</v>
      </c>
      <c r="K118" s="87">
        <v>43165</v>
      </c>
      <c r="M118" s="250"/>
    </row>
    <row r="119" spans="1:13" s="10" customFormat="1" ht="13.5" customHeight="1" x14ac:dyDescent="0.25">
      <c r="A119" s="66" t="s">
        <v>565</v>
      </c>
      <c r="B119" s="1" t="s">
        <v>359</v>
      </c>
      <c r="C119" s="82" t="s">
        <v>7</v>
      </c>
      <c r="D119" s="109">
        <v>20180209</v>
      </c>
      <c r="E119" s="86" t="s">
        <v>5</v>
      </c>
      <c r="F119" s="85"/>
      <c r="G119" s="80">
        <v>43164</v>
      </c>
      <c r="H119" s="9">
        <v>100</v>
      </c>
      <c r="I119" s="84">
        <v>854</v>
      </c>
      <c r="J119" s="84">
        <f>+H119*I119</f>
        <v>85400</v>
      </c>
      <c r="K119" s="87">
        <v>43165</v>
      </c>
      <c r="M119" s="250"/>
    </row>
    <row r="120" spans="1:13" s="10" customFormat="1" ht="13.5" customHeight="1" x14ac:dyDescent="0.3">
      <c r="A120" s="66" t="s">
        <v>357</v>
      </c>
      <c r="B120" s="1" t="s">
        <v>360</v>
      </c>
      <c r="C120" s="82" t="s">
        <v>361</v>
      </c>
      <c r="D120" s="109">
        <v>201752921</v>
      </c>
      <c r="E120" s="86">
        <v>90</v>
      </c>
      <c r="F120" s="85" t="s">
        <v>20</v>
      </c>
      <c r="G120" s="80">
        <v>43171</v>
      </c>
      <c r="H120" s="9">
        <v>49.8</v>
      </c>
      <c r="I120" s="84">
        <f>+J120/H120</f>
        <v>1234.839357429719</v>
      </c>
      <c r="J120" s="84">
        <v>61495</v>
      </c>
      <c r="K120" s="87">
        <v>43173</v>
      </c>
      <c r="M120" s="250"/>
    </row>
    <row r="121" spans="1:13" s="10" customFormat="1" ht="13.5" customHeight="1" x14ac:dyDescent="0.3">
      <c r="A121" s="66" t="s">
        <v>567</v>
      </c>
      <c r="B121" s="1" t="s">
        <v>11</v>
      </c>
      <c r="C121" s="82" t="s">
        <v>16</v>
      </c>
      <c r="D121" s="109" t="s">
        <v>695</v>
      </c>
      <c r="E121" s="86">
        <v>30</v>
      </c>
      <c r="F121" s="85" t="s">
        <v>20</v>
      </c>
      <c r="G121" s="80">
        <v>43171</v>
      </c>
      <c r="H121" s="9">
        <v>200</v>
      </c>
      <c r="I121" s="84">
        <v>310</v>
      </c>
      <c r="J121" s="84">
        <f>+H121*I121</f>
        <v>62000</v>
      </c>
      <c r="K121" s="87">
        <v>43173</v>
      </c>
      <c r="M121" s="250"/>
    </row>
    <row r="122" spans="1:13" s="10" customFormat="1" ht="13.5" customHeight="1" x14ac:dyDescent="0.3">
      <c r="A122" s="66" t="s">
        <v>685</v>
      </c>
      <c r="B122" s="1" t="s">
        <v>33</v>
      </c>
      <c r="C122" s="82" t="s">
        <v>688</v>
      </c>
      <c r="D122" s="109" t="s">
        <v>689</v>
      </c>
      <c r="E122" s="86" t="s">
        <v>5</v>
      </c>
      <c r="F122" s="85"/>
      <c r="G122" s="80">
        <v>43174</v>
      </c>
      <c r="H122" s="9">
        <v>300</v>
      </c>
      <c r="I122" s="84">
        <v>287</v>
      </c>
      <c r="J122" s="84">
        <f>+I122*H122</f>
        <v>86100</v>
      </c>
      <c r="K122" s="87">
        <v>43174</v>
      </c>
      <c r="M122" s="250"/>
    </row>
    <row r="123" spans="1:13" s="10" customFormat="1" ht="13.5" customHeight="1" x14ac:dyDescent="0.25">
      <c r="A123" s="66" t="s">
        <v>487</v>
      </c>
      <c r="B123" s="1" t="s">
        <v>56</v>
      </c>
      <c r="C123" s="82" t="s">
        <v>50</v>
      </c>
      <c r="D123" s="109" t="s">
        <v>696</v>
      </c>
      <c r="E123" s="86" t="s">
        <v>5</v>
      </c>
      <c r="F123" s="85"/>
      <c r="G123" s="80">
        <v>43186</v>
      </c>
      <c r="H123" s="9">
        <v>240</v>
      </c>
      <c r="I123" s="84">
        <v>315</v>
      </c>
      <c r="J123" s="84">
        <f>+H123*I123</f>
        <v>75600</v>
      </c>
      <c r="K123" s="87">
        <v>43187</v>
      </c>
      <c r="M123" s="250"/>
    </row>
    <row r="124" spans="1:13" s="10" customFormat="1" ht="13.5" customHeight="1" x14ac:dyDescent="0.25">
      <c r="A124" s="66" t="s">
        <v>655</v>
      </c>
      <c r="B124" s="1" t="s">
        <v>4</v>
      </c>
      <c r="C124" s="82" t="s">
        <v>17</v>
      </c>
      <c r="D124" s="109">
        <v>18030026</v>
      </c>
      <c r="E124" s="86" t="s">
        <v>5</v>
      </c>
      <c r="F124" s="85"/>
      <c r="G124" s="80">
        <v>43186</v>
      </c>
      <c r="H124" s="9">
        <v>408</v>
      </c>
      <c r="I124" s="84">
        <v>508</v>
      </c>
      <c r="J124" s="84">
        <f>+I124*H124</f>
        <v>207264</v>
      </c>
      <c r="K124" s="87">
        <v>43187</v>
      </c>
      <c r="L124" s="93">
        <v>0.7</v>
      </c>
      <c r="M124" s="250"/>
    </row>
    <row r="125" spans="1:13" s="10" customFormat="1" ht="13.5" customHeight="1" x14ac:dyDescent="0.25">
      <c r="A125" s="66" t="s">
        <v>654</v>
      </c>
      <c r="B125" s="1" t="s">
        <v>4</v>
      </c>
      <c r="C125" s="82" t="s">
        <v>17</v>
      </c>
      <c r="D125" s="109">
        <v>18030032</v>
      </c>
      <c r="E125" s="86" t="s">
        <v>5</v>
      </c>
      <c r="F125" s="85"/>
      <c r="G125" s="80">
        <v>43194</v>
      </c>
      <c r="H125" s="9">
        <v>408</v>
      </c>
      <c r="I125" s="84">
        <v>498</v>
      </c>
      <c r="J125" s="84">
        <f>+I125*H125</f>
        <v>203184</v>
      </c>
      <c r="K125" s="87">
        <v>43195</v>
      </c>
      <c r="L125" s="93"/>
      <c r="M125" s="250"/>
    </row>
    <row r="126" spans="1:13" s="10" customFormat="1" ht="13.5" customHeight="1" x14ac:dyDescent="0.25">
      <c r="A126" s="66" t="s">
        <v>488</v>
      </c>
      <c r="B126" s="1" t="s">
        <v>56</v>
      </c>
      <c r="C126" s="82" t="s">
        <v>50</v>
      </c>
      <c r="D126" s="109" t="s">
        <v>697</v>
      </c>
      <c r="E126" s="86" t="s">
        <v>5</v>
      </c>
      <c r="F126" s="85"/>
      <c r="G126" s="80">
        <v>43195</v>
      </c>
      <c r="H126" s="9">
        <v>240</v>
      </c>
      <c r="I126" s="84">
        <v>320</v>
      </c>
      <c r="J126" s="84">
        <v>76800</v>
      </c>
      <c r="K126" s="87">
        <v>43195</v>
      </c>
      <c r="L126" s="93"/>
      <c r="M126" s="250"/>
    </row>
    <row r="127" spans="1:13" s="10" customFormat="1" ht="13.5" customHeight="1" x14ac:dyDescent="0.3">
      <c r="A127" s="66" t="s">
        <v>667</v>
      </c>
      <c r="B127" s="1" t="s">
        <v>663</v>
      </c>
      <c r="C127" s="82" t="s">
        <v>664</v>
      </c>
      <c r="D127" s="109">
        <v>551</v>
      </c>
      <c r="E127" s="86">
        <v>30</v>
      </c>
      <c r="F127" s="85" t="s">
        <v>20</v>
      </c>
      <c r="G127" s="80">
        <f>+K127+E127</f>
        <v>43225</v>
      </c>
      <c r="H127" s="9">
        <v>1</v>
      </c>
      <c r="I127" s="84">
        <v>378</v>
      </c>
      <c r="J127" s="84">
        <f>+I127*H127</f>
        <v>378</v>
      </c>
      <c r="K127" s="87">
        <v>43195</v>
      </c>
      <c r="L127" s="93"/>
      <c r="M127" s="250"/>
    </row>
    <row r="128" spans="1:13" s="10" customFormat="1" ht="13.5" customHeight="1" x14ac:dyDescent="0.3">
      <c r="A128" s="66" t="s">
        <v>668</v>
      </c>
      <c r="B128" s="1" t="s">
        <v>665</v>
      </c>
      <c r="C128" s="82" t="s">
        <v>664</v>
      </c>
      <c r="D128" s="109">
        <v>551</v>
      </c>
      <c r="E128" s="86">
        <v>30</v>
      </c>
      <c r="F128" s="85" t="s">
        <v>20</v>
      </c>
      <c r="G128" s="80">
        <f>+K128+E128</f>
        <v>43225</v>
      </c>
      <c r="H128" s="9">
        <v>1</v>
      </c>
      <c r="I128" s="84">
        <v>600</v>
      </c>
      <c r="J128" s="84">
        <f>+I128*H128</f>
        <v>600</v>
      </c>
      <c r="K128" s="87">
        <v>43195</v>
      </c>
      <c r="L128" s="93"/>
      <c r="M128" s="250"/>
    </row>
    <row r="129" spans="1:13" s="10" customFormat="1" ht="13.5" customHeight="1" x14ac:dyDescent="0.3">
      <c r="A129" s="66" t="s">
        <v>669</v>
      </c>
      <c r="B129" s="1" t="s">
        <v>666</v>
      </c>
      <c r="C129" s="82" t="s">
        <v>664</v>
      </c>
      <c r="D129" s="109">
        <v>551</v>
      </c>
      <c r="E129" s="86">
        <v>30</v>
      </c>
      <c r="F129" s="85" t="s">
        <v>20</v>
      </c>
      <c r="G129" s="80">
        <f>+K129+E129</f>
        <v>43225</v>
      </c>
      <c r="H129" s="9">
        <v>50</v>
      </c>
      <c r="I129" s="84">
        <v>330</v>
      </c>
      <c r="J129" s="84">
        <f>+I129*H129</f>
        <v>16500</v>
      </c>
      <c r="K129" s="87">
        <v>43195</v>
      </c>
      <c r="L129" s="93"/>
      <c r="M129" s="250"/>
    </row>
    <row r="130" spans="1:13" s="10" customFormat="1" ht="13.5" customHeight="1" x14ac:dyDescent="0.3">
      <c r="A130" s="66" t="s">
        <v>358</v>
      </c>
      <c r="B130" s="1" t="s">
        <v>360</v>
      </c>
      <c r="C130" s="82" t="s">
        <v>361</v>
      </c>
      <c r="D130" s="109">
        <v>201752710</v>
      </c>
      <c r="E130" s="86">
        <v>150</v>
      </c>
      <c r="F130" s="85" t="s">
        <v>20</v>
      </c>
      <c r="G130" s="80">
        <v>43192</v>
      </c>
      <c r="H130" s="9">
        <v>49</v>
      </c>
      <c r="I130" s="84">
        <v>1255</v>
      </c>
      <c r="J130" s="84">
        <v>61495</v>
      </c>
      <c r="K130" s="87">
        <v>43124</v>
      </c>
      <c r="L130" s="93"/>
      <c r="M130" s="250"/>
    </row>
    <row r="131" spans="1:13" s="10" customFormat="1" ht="13.5" customHeight="1" x14ac:dyDescent="0.25">
      <c r="A131" s="66" t="s">
        <v>643</v>
      </c>
      <c r="B131" s="1" t="s">
        <v>56</v>
      </c>
      <c r="C131" s="82" t="s">
        <v>50</v>
      </c>
      <c r="D131" s="109" t="s">
        <v>703</v>
      </c>
      <c r="E131" s="86" t="s">
        <v>5</v>
      </c>
      <c r="F131" s="85"/>
      <c r="G131" s="80">
        <v>43200</v>
      </c>
      <c r="H131" s="9">
        <v>240</v>
      </c>
      <c r="I131" s="84">
        <v>315</v>
      </c>
      <c r="J131" s="84">
        <v>75600</v>
      </c>
      <c r="K131" s="87">
        <v>43202</v>
      </c>
      <c r="L131" s="93"/>
      <c r="M131" s="250"/>
    </row>
    <row r="132" spans="1:13" s="10" customFormat="1" ht="13.5" customHeight="1" x14ac:dyDescent="0.25">
      <c r="A132" s="66" t="s">
        <v>644</v>
      </c>
      <c r="B132" s="1" t="s">
        <v>56</v>
      </c>
      <c r="C132" s="82" t="s">
        <v>50</v>
      </c>
      <c r="D132" s="109" t="s">
        <v>703</v>
      </c>
      <c r="E132" s="86" t="s">
        <v>5</v>
      </c>
      <c r="F132" s="85"/>
      <c r="G132" s="80">
        <v>43200</v>
      </c>
      <c r="H132" s="9">
        <v>240</v>
      </c>
      <c r="I132" s="84">
        <v>320</v>
      </c>
      <c r="J132" s="84">
        <v>76800</v>
      </c>
      <c r="K132" s="87">
        <v>43202</v>
      </c>
      <c r="L132" s="93"/>
      <c r="M132" s="250"/>
    </row>
    <row r="133" spans="1:13" s="10" customFormat="1" ht="13.5" customHeight="1" x14ac:dyDescent="0.25">
      <c r="A133" s="66" t="s">
        <v>662</v>
      </c>
      <c r="B133" s="1" t="s">
        <v>56</v>
      </c>
      <c r="C133" s="82" t="s">
        <v>50</v>
      </c>
      <c r="D133" s="109" t="s">
        <v>714</v>
      </c>
      <c r="E133" s="86" t="s">
        <v>158</v>
      </c>
      <c r="F133" s="85"/>
      <c r="G133" s="80">
        <v>43200</v>
      </c>
      <c r="H133" s="9">
        <v>144</v>
      </c>
      <c r="I133" s="84">
        <v>325</v>
      </c>
      <c r="J133" s="84">
        <f>+I133*H133</f>
        <v>46800</v>
      </c>
      <c r="K133" s="87">
        <v>43202</v>
      </c>
      <c r="L133" s="93"/>
      <c r="M133" s="250"/>
    </row>
    <row r="134" spans="1:13" s="10" customFormat="1" ht="13.5" customHeight="1" x14ac:dyDescent="0.25">
      <c r="A134" s="66" t="s">
        <v>656</v>
      </c>
      <c r="B134" s="1" t="s">
        <v>56</v>
      </c>
      <c r="C134" s="82" t="s">
        <v>50</v>
      </c>
      <c r="D134" s="109" t="s">
        <v>710</v>
      </c>
      <c r="E134" s="86" t="s">
        <v>158</v>
      </c>
      <c r="F134" s="85"/>
      <c r="G134" s="80">
        <v>43202</v>
      </c>
      <c r="H134" s="9">
        <v>312</v>
      </c>
      <c r="I134" s="84">
        <v>315</v>
      </c>
      <c r="J134" s="84">
        <v>98280</v>
      </c>
      <c r="K134" s="87">
        <v>43202</v>
      </c>
      <c r="L134" s="93"/>
      <c r="M134" s="250"/>
    </row>
    <row r="135" spans="1:13" s="10" customFormat="1" ht="13.5" customHeight="1" x14ac:dyDescent="0.25">
      <c r="A135" s="66" t="s">
        <v>657</v>
      </c>
      <c r="B135" s="1" t="s">
        <v>56</v>
      </c>
      <c r="C135" s="82" t="s">
        <v>50</v>
      </c>
      <c r="D135" s="109" t="s">
        <v>711</v>
      </c>
      <c r="E135" s="86" t="s">
        <v>158</v>
      </c>
      <c r="F135" s="85"/>
      <c r="G135" s="80">
        <v>43202</v>
      </c>
      <c r="H135" s="9">
        <v>312</v>
      </c>
      <c r="I135" s="84">
        <v>320</v>
      </c>
      <c r="J135" s="84">
        <v>99840</v>
      </c>
      <c r="K135" s="87">
        <v>43202</v>
      </c>
      <c r="L135" s="93"/>
      <c r="M135" s="250"/>
    </row>
    <row r="136" spans="1:13" s="10" customFormat="1" ht="13.5" customHeight="1" x14ac:dyDescent="0.25">
      <c r="A136" s="66" t="s">
        <v>715</v>
      </c>
      <c r="B136" s="1" t="s">
        <v>687</v>
      </c>
      <c r="C136" s="82" t="s">
        <v>7</v>
      </c>
      <c r="D136" s="109">
        <v>20180374</v>
      </c>
      <c r="E136" s="86" t="s">
        <v>5</v>
      </c>
      <c r="F136" s="85"/>
      <c r="G136" s="80">
        <v>43202</v>
      </c>
      <c r="H136" s="9">
        <v>1300</v>
      </c>
      <c r="I136" s="84">
        <v>168</v>
      </c>
      <c r="J136" s="84">
        <v>218400</v>
      </c>
      <c r="K136" s="87">
        <v>43202</v>
      </c>
      <c r="L136" s="93"/>
      <c r="M136" s="250"/>
    </row>
    <row r="137" spans="1:13" s="10" customFormat="1" ht="13.5" customHeight="1" x14ac:dyDescent="0.25">
      <c r="A137" s="66" t="s">
        <v>716</v>
      </c>
      <c r="B137" s="1" t="s">
        <v>687</v>
      </c>
      <c r="C137" s="82" t="s">
        <v>7</v>
      </c>
      <c r="D137" s="109">
        <v>20180375</v>
      </c>
      <c r="E137" s="86" t="s">
        <v>5</v>
      </c>
      <c r="F137" s="85"/>
      <c r="G137" s="80">
        <v>43202</v>
      </c>
      <c r="H137" s="9">
        <v>520</v>
      </c>
      <c r="I137" s="84">
        <v>168</v>
      </c>
      <c r="J137" s="84">
        <v>87360</v>
      </c>
      <c r="K137" s="87">
        <v>43202</v>
      </c>
      <c r="L137" s="93"/>
      <c r="M137" s="250"/>
    </row>
    <row r="138" spans="1:13" s="10" customFormat="1" ht="13.5" customHeight="1" x14ac:dyDescent="0.25">
      <c r="A138" s="66" t="s">
        <v>707</v>
      </c>
      <c r="B138" s="1" t="s">
        <v>4</v>
      </c>
      <c r="C138" s="82" t="s">
        <v>17</v>
      </c>
      <c r="D138" s="109"/>
      <c r="E138" s="86" t="s">
        <v>5</v>
      </c>
      <c r="F138" s="85"/>
      <c r="G138" s="80">
        <v>43207</v>
      </c>
      <c r="H138" s="9">
        <v>216</v>
      </c>
      <c r="I138" s="84">
        <v>498</v>
      </c>
      <c r="J138" s="84">
        <f>107568*0.7</f>
        <v>75297.599999999991</v>
      </c>
      <c r="K138" s="87">
        <v>43208</v>
      </c>
      <c r="L138" s="93"/>
      <c r="M138" s="250"/>
    </row>
    <row r="139" spans="1:13" s="10" customFormat="1" ht="13.5" customHeight="1" x14ac:dyDescent="0.3">
      <c r="A139" s="66" t="s">
        <v>660</v>
      </c>
      <c r="B139" s="1" t="s">
        <v>35</v>
      </c>
      <c r="C139" s="82" t="s">
        <v>15</v>
      </c>
      <c r="D139" s="109">
        <v>21187</v>
      </c>
      <c r="E139" s="86" t="s">
        <v>5</v>
      </c>
      <c r="F139" s="85"/>
      <c r="G139" s="80">
        <v>43207</v>
      </c>
      <c r="H139" s="9">
        <v>200</v>
      </c>
      <c r="I139" s="84">
        <v>673</v>
      </c>
      <c r="J139" s="84">
        <v>134600</v>
      </c>
      <c r="K139" s="87">
        <v>43208</v>
      </c>
      <c r="L139" s="93"/>
      <c r="M139" s="250"/>
    </row>
    <row r="140" spans="1:13" s="10" customFormat="1" ht="13.5" customHeight="1" x14ac:dyDescent="0.3">
      <c r="A140" s="66" t="s">
        <v>661</v>
      </c>
      <c r="B140" s="1" t="s">
        <v>35</v>
      </c>
      <c r="C140" s="82" t="s">
        <v>15</v>
      </c>
      <c r="D140" s="109">
        <v>21186</v>
      </c>
      <c r="E140" s="86" t="s">
        <v>5</v>
      </c>
      <c r="F140" s="85"/>
      <c r="G140" s="80">
        <v>43207</v>
      </c>
      <c r="H140" s="9">
        <v>200</v>
      </c>
      <c r="I140" s="84">
        <v>676</v>
      </c>
      <c r="J140" s="84">
        <v>135200</v>
      </c>
      <c r="K140" s="87">
        <v>43208</v>
      </c>
      <c r="L140" s="93"/>
      <c r="M140" s="250"/>
    </row>
    <row r="141" spans="1:13" s="10" customFormat="1" ht="13.5" customHeight="1" x14ac:dyDescent="0.3">
      <c r="A141" s="66" t="s">
        <v>680</v>
      </c>
      <c r="B141" s="1" t="s">
        <v>35</v>
      </c>
      <c r="C141" s="82" t="s">
        <v>15</v>
      </c>
      <c r="D141" s="109"/>
      <c r="E141" s="86" t="s">
        <v>5</v>
      </c>
      <c r="F141" s="85"/>
      <c r="G141" s="80">
        <v>43210</v>
      </c>
      <c r="H141" s="9">
        <v>100</v>
      </c>
      <c r="I141" s="84">
        <v>687</v>
      </c>
      <c r="J141" s="84">
        <f>+I141*H141</f>
        <v>68700</v>
      </c>
      <c r="K141" s="87">
        <v>43213</v>
      </c>
      <c r="L141" s="93"/>
      <c r="M141" s="250"/>
    </row>
    <row r="142" spans="1:13" s="10" customFormat="1" ht="13.5" customHeight="1" x14ac:dyDescent="0.25">
      <c r="A142" s="66" t="s">
        <v>677</v>
      </c>
      <c r="B142" s="1" t="s">
        <v>687</v>
      </c>
      <c r="C142" s="82" t="s">
        <v>7</v>
      </c>
      <c r="D142" s="109" t="s">
        <v>719</v>
      </c>
      <c r="E142" s="86" t="s">
        <v>5</v>
      </c>
      <c r="F142" s="85"/>
      <c r="G142" s="80">
        <v>43216</v>
      </c>
      <c r="H142" s="9">
        <v>1540.5</v>
      </c>
      <c r="I142" s="84">
        <v>158</v>
      </c>
      <c r="J142" s="84">
        <f>+I142*H142</f>
        <v>243399</v>
      </c>
      <c r="K142" s="87">
        <v>43216</v>
      </c>
      <c r="L142" s="93"/>
      <c r="M142" s="250"/>
    </row>
    <row r="143" spans="1:13" s="10" customFormat="1" ht="13.5" customHeight="1" x14ac:dyDescent="0.25">
      <c r="A143" s="66" t="s">
        <v>717</v>
      </c>
      <c r="B143" s="1" t="s">
        <v>687</v>
      </c>
      <c r="C143" s="82" t="s">
        <v>7</v>
      </c>
      <c r="D143" s="109">
        <v>20180453</v>
      </c>
      <c r="E143" s="86" t="s">
        <v>5</v>
      </c>
      <c r="F143" s="85"/>
      <c r="G143" s="80">
        <v>43220</v>
      </c>
      <c r="H143" s="9">
        <v>52</v>
      </c>
      <c r="I143" s="84">
        <v>168</v>
      </c>
      <c r="J143" s="84">
        <f>+I143*H143</f>
        <v>8736</v>
      </c>
      <c r="K143" s="87">
        <v>43222</v>
      </c>
      <c r="L143" s="93"/>
      <c r="M143" s="250"/>
    </row>
    <row r="144" spans="1:13" s="10" customFormat="1" ht="13.5" customHeight="1" x14ac:dyDescent="0.25">
      <c r="A144" s="66" t="s">
        <v>721</v>
      </c>
      <c r="B144" s="1" t="s">
        <v>687</v>
      </c>
      <c r="C144" s="82" t="s">
        <v>7</v>
      </c>
      <c r="D144" s="109">
        <v>20180452</v>
      </c>
      <c r="E144" s="86" t="s">
        <v>5</v>
      </c>
      <c r="F144" s="85"/>
      <c r="G144" s="80">
        <v>43220</v>
      </c>
      <c r="H144" s="9">
        <v>650</v>
      </c>
      <c r="I144" s="84">
        <v>168</v>
      </c>
      <c r="J144" s="84">
        <f>+I144*H144</f>
        <v>109200</v>
      </c>
      <c r="K144" s="87">
        <v>43222</v>
      </c>
      <c r="L144" s="93"/>
      <c r="M144" s="250"/>
    </row>
    <row r="145" spans="1:13" s="10" customFormat="1" ht="13.5" customHeight="1" x14ac:dyDescent="0.3">
      <c r="A145" s="66" t="s">
        <v>323</v>
      </c>
      <c r="B145" s="1" t="s">
        <v>328</v>
      </c>
      <c r="C145" s="82" t="s">
        <v>42</v>
      </c>
      <c r="D145" s="109">
        <v>50414960</v>
      </c>
      <c r="E145" s="86">
        <v>90</v>
      </c>
      <c r="F145" s="85" t="s">
        <v>20</v>
      </c>
      <c r="G145" s="80">
        <v>43223</v>
      </c>
      <c r="H145" s="9">
        <v>4.2</v>
      </c>
      <c r="I145" s="84">
        <v>12970</v>
      </c>
      <c r="J145" s="84">
        <f>+H145*I145</f>
        <v>54474</v>
      </c>
      <c r="K145" s="87">
        <v>43223</v>
      </c>
      <c r="L145" s="93"/>
      <c r="M145" s="250"/>
    </row>
    <row r="146" spans="1:13" s="10" customFormat="1" ht="13.5" customHeight="1" x14ac:dyDescent="0.3">
      <c r="A146" s="66" t="s">
        <v>324</v>
      </c>
      <c r="B146" s="1" t="s">
        <v>329</v>
      </c>
      <c r="C146" s="82" t="s">
        <v>42</v>
      </c>
      <c r="D146" s="109">
        <v>50414960</v>
      </c>
      <c r="E146" s="86">
        <v>90</v>
      </c>
      <c r="F146" s="85" t="s">
        <v>20</v>
      </c>
      <c r="G146" s="80">
        <v>43223</v>
      </c>
      <c r="H146" s="9">
        <v>2.1</v>
      </c>
      <c r="I146" s="84">
        <v>5450</v>
      </c>
      <c r="J146" s="84">
        <f>+H146*I146</f>
        <v>11445</v>
      </c>
      <c r="K146" s="87">
        <v>43223</v>
      </c>
      <c r="L146" s="93"/>
      <c r="M146" s="250"/>
    </row>
    <row r="147" spans="1:13" s="10" customFormat="1" ht="13.5" customHeight="1" x14ac:dyDescent="0.3">
      <c r="A147" s="66" t="s">
        <v>325</v>
      </c>
      <c r="B147" s="1" t="s">
        <v>330</v>
      </c>
      <c r="C147" s="82" t="s">
        <v>42</v>
      </c>
      <c r="D147" s="109">
        <v>50414960</v>
      </c>
      <c r="E147" s="86">
        <v>90</v>
      </c>
      <c r="F147" s="85" t="s">
        <v>20</v>
      </c>
      <c r="G147" s="80">
        <v>43223</v>
      </c>
      <c r="H147" s="9">
        <v>2.1</v>
      </c>
      <c r="I147" s="84">
        <v>5450</v>
      </c>
      <c r="J147" s="84">
        <f>+H147*I147</f>
        <v>11445</v>
      </c>
      <c r="K147" s="87">
        <v>43223</v>
      </c>
      <c r="L147" s="93"/>
      <c r="M147" s="250"/>
    </row>
    <row r="148" spans="1:13" s="10" customFormat="1" ht="13.5" customHeight="1" x14ac:dyDescent="0.3">
      <c r="A148" s="66" t="s">
        <v>532</v>
      </c>
      <c r="B148" s="1" t="s">
        <v>32</v>
      </c>
      <c r="C148" s="82" t="s">
        <v>15</v>
      </c>
      <c r="D148" s="109" t="s">
        <v>456</v>
      </c>
      <c r="E148" s="86">
        <v>90</v>
      </c>
      <c r="F148" s="85" t="s">
        <v>20</v>
      </c>
      <c r="G148" s="80">
        <v>43224</v>
      </c>
      <c r="H148" s="9">
        <v>11900</v>
      </c>
      <c r="I148" s="84">
        <v>263.5</v>
      </c>
      <c r="J148" s="84">
        <v>3135650</v>
      </c>
      <c r="K148" s="87">
        <v>43227</v>
      </c>
      <c r="L148" s="93"/>
      <c r="M148" s="250"/>
    </row>
    <row r="149" spans="1:13" s="10" customFormat="1" ht="13.5" customHeight="1" x14ac:dyDescent="0.3">
      <c r="A149" s="66" t="s">
        <v>533</v>
      </c>
      <c r="B149" s="1" t="s">
        <v>33</v>
      </c>
      <c r="C149" s="82" t="s">
        <v>15</v>
      </c>
      <c r="D149" s="109" t="s">
        <v>456</v>
      </c>
      <c r="E149" s="86">
        <v>90</v>
      </c>
      <c r="F149" s="85" t="s">
        <v>20</v>
      </c>
      <c r="G149" s="80">
        <v>43224</v>
      </c>
      <c r="H149" s="9">
        <v>3600</v>
      </c>
      <c r="I149" s="84">
        <v>273.5</v>
      </c>
      <c r="J149" s="84">
        <v>984600</v>
      </c>
      <c r="K149" s="87">
        <v>43227</v>
      </c>
      <c r="L149" s="93"/>
      <c r="M149" s="250"/>
    </row>
    <row r="150" spans="1:13" s="10" customFormat="1" ht="13.5" customHeight="1" x14ac:dyDescent="0.25">
      <c r="A150" s="66" t="s">
        <v>708</v>
      </c>
      <c r="B150" s="1" t="s">
        <v>33</v>
      </c>
      <c r="C150" s="82" t="s">
        <v>27</v>
      </c>
      <c r="D150" s="109" t="s">
        <v>706</v>
      </c>
      <c r="E150" s="86" t="s">
        <v>5</v>
      </c>
      <c r="F150" s="85"/>
      <c r="G150" s="80">
        <v>43228</v>
      </c>
      <c r="H150" s="9">
        <v>4900</v>
      </c>
      <c r="I150" s="84">
        <v>280.7</v>
      </c>
      <c r="J150" s="84">
        <f>+H150*I150</f>
        <v>1375430</v>
      </c>
      <c r="K150" s="87">
        <v>43228</v>
      </c>
      <c r="L150" s="93"/>
      <c r="M150" s="250"/>
    </row>
    <row r="151" spans="1:13" s="10" customFormat="1" ht="13.5" customHeight="1" x14ac:dyDescent="0.3">
      <c r="A151" s="66" t="s">
        <v>559</v>
      </c>
      <c r="B151" s="1" t="s">
        <v>575</v>
      </c>
      <c r="C151" s="82" t="s">
        <v>44</v>
      </c>
      <c r="D151" s="109" t="s">
        <v>698</v>
      </c>
      <c r="E151" s="86">
        <v>90</v>
      </c>
      <c r="F151" s="85" t="s">
        <v>20</v>
      </c>
      <c r="G151" s="80">
        <v>43229</v>
      </c>
      <c r="H151" s="9">
        <v>17.236509999999999</v>
      </c>
      <c r="I151" s="84">
        <v>2247.984075662649</v>
      </c>
      <c r="J151" s="84">
        <v>38747.4</v>
      </c>
      <c r="K151" s="87">
        <v>43231</v>
      </c>
      <c r="L151" s="93"/>
      <c r="M151" s="250"/>
    </row>
    <row r="152" spans="1:13" s="10" customFormat="1" ht="13.5" customHeight="1" x14ac:dyDescent="0.25">
      <c r="A152" s="66" t="s">
        <v>570</v>
      </c>
      <c r="B152" s="1" t="s">
        <v>13</v>
      </c>
      <c r="C152" s="82" t="s">
        <v>577</v>
      </c>
      <c r="D152" s="109" t="s">
        <v>735</v>
      </c>
      <c r="E152" s="86" t="s">
        <v>5</v>
      </c>
      <c r="F152" s="85"/>
      <c r="G152" s="80">
        <v>43230</v>
      </c>
      <c r="H152" s="9">
        <v>216</v>
      </c>
      <c r="I152" s="84">
        <v>795</v>
      </c>
      <c r="J152" s="84">
        <f>+H152*I152</f>
        <v>171720</v>
      </c>
      <c r="K152" s="87">
        <v>43231</v>
      </c>
      <c r="L152" s="93"/>
      <c r="M152" s="250"/>
    </row>
    <row r="153" spans="1:13" s="10" customFormat="1" ht="13.5" customHeight="1" x14ac:dyDescent="0.25">
      <c r="A153" s="66" t="s">
        <v>743</v>
      </c>
      <c r="B153" s="1" t="s">
        <v>748</v>
      </c>
      <c r="C153" s="82" t="s">
        <v>245</v>
      </c>
      <c r="D153" s="109" t="s">
        <v>754</v>
      </c>
      <c r="E153" s="86" t="s">
        <v>5</v>
      </c>
      <c r="F153" s="85"/>
      <c r="G153" s="80">
        <v>43235</v>
      </c>
      <c r="H153" s="9">
        <v>88</v>
      </c>
      <c r="I153" s="84">
        <v>690</v>
      </c>
      <c r="J153" s="84">
        <f>+I153*H153</f>
        <v>60720</v>
      </c>
      <c r="K153" s="87">
        <v>43235</v>
      </c>
      <c r="L153" s="93"/>
      <c r="M153" s="250"/>
    </row>
    <row r="154" spans="1:13" s="10" customFormat="1" ht="13.5" customHeight="1" x14ac:dyDescent="0.25">
      <c r="A154" s="66" t="s">
        <v>744</v>
      </c>
      <c r="B154" s="1" t="s">
        <v>749</v>
      </c>
      <c r="C154" s="82" t="s">
        <v>245</v>
      </c>
      <c r="D154" s="109" t="s">
        <v>755</v>
      </c>
      <c r="E154" s="86" t="s">
        <v>5</v>
      </c>
      <c r="F154" s="85"/>
      <c r="G154" s="80">
        <v>43235</v>
      </c>
      <c r="H154" s="9">
        <v>55.75</v>
      </c>
      <c r="I154" s="84">
        <v>295</v>
      </c>
      <c r="J154" s="84">
        <f>+I154*H154</f>
        <v>16446.25</v>
      </c>
      <c r="K154" s="87">
        <v>43235</v>
      </c>
      <c r="L154" s="93"/>
      <c r="M154" s="250"/>
    </row>
    <row r="155" spans="1:13" s="10" customFormat="1" ht="13.5" customHeight="1" x14ac:dyDescent="0.3">
      <c r="A155" s="66" t="s">
        <v>578</v>
      </c>
      <c r="B155" s="1" t="s">
        <v>12</v>
      </c>
      <c r="C155" s="82" t="s">
        <v>280</v>
      </c>
      <c r="D155" s="109" t="s">
        <v>699</v>
      </c>
      <c r="E155" s="86">
        <v>60</v>
      </c>
      <c r="F155" s="85" t="s">
        <v>20</v>
      </c>
      <c r="G155" s="80">
        <v>43237</v>
      </c>
      <c r="H155" s="9">
        <v>900</v>
      </c>
      <c r="I155" s="84">
        <v>141</v>
      </c>
      <c r="J155" s="84">
        <v>126900</v>
      </c>
      <c r="K155" s="87">
        <v>43241</v>
      </c>
      <c r="L155" s="93"/>
      <c r="M155" s="250"/>
    </row>
    <row r="156" spans="1:13" s="10" customFormat="1" ht="13.5" customHeight="1" x14ac:dyDescent="0.25">
      <c r="A156" s="66" t="s">
        <v>571</v>
      </c>
      <c r="B156" s="1" t="s">
        <v>13</v>
      </c>
      <c r="C156" s="82" t="s">
        <v>577</v>
      </c>
      <c r="D156" s="109" t="s">
        <v>736</v>
      </c>
      <c r="E156" s="86" t="s">
        <v>5</v>
      </c>
      <c r="F156" s="85"/>
      <c r="G156" s="80">
        <v>43237</v>
      </c>
      <c r="H156" s="9">
        <v>216</v>
      </c>
      <c r="I156" s="84">
        <v>795</v>
      </c>
      <c r="J156" s="84">
        <f>+H156*I156</f>
        <v>171720</v>
      </c>
      <c r="K156" s="87">
        <v>43241</v>
      </c>
      <c r="L156" s="93"/>
      <c r="M156" s="250"/>
    </row>
    <row r="157" spans="1:13" s="10" customFormat="1" ht="13.5" customHeight="1" x14ac:dyDescent="0.3">
      <c r="A157" s="66" t="s">
        <v>718</v>
      </c>
      <c r="B157" s="1" t="s">
        <v>705</v>
      </c>
      <c r="C157" s="82" t="s">
        <v>664</v>
      </c>
      <c r="D157" s="109" t="s">
        <v>757</v>
      </c>
      <c r="E157" s="86">
        <v>30</v>
      </c>
      <c r="F157" s="85" t="s">
        <v>20</v>
      </c>
      <c r="G157" s="80">
        <v>43249</v>
      </c>
      <c r="H157" s="9">
        <v>52</v>
      </c>
      <c r="I157" s="84">
        <v>280</v>
      </c>
      <c r="J157" s="84">
        <v>14560</v>
      </c>
      <c r="K157" s="87">
        <v>43248</v>
      </c>
      <c r="L157" s="93"/>
      <c r="M157" s="250"/>
    </row>
    <row r="158" spans="1:13" s="10" customFormat="1" ht="13.5" customHeight="1" x14ac:dyDescent="0.25">
      <c r="A158" s="66" t="s">
        <v>684</v>
      </c>
      <c r="B158" s="1" t="s">
        <v>6</v>
      </c>
      <c r="C158" s="82" t="s">
        <v>7</v>
      </c>
      <c r="D158" s="109" t="s">
        <v>756</v>
      </c>
      <c r="E158" s="86" t="s">
        <v>5</v>
      </c>
      <c r="F158" s="85"/>
      <c r="G158" s="80">
        <v>43248</v>
      </c>
      <c r="H158" s="9">
        <v>400</v>
      </c>
      <c r="I158" s="84">
        <v>518</v>
      </c>
      <c r="J158" s="84">
        <f>+I158*H158</f>
        <v>207200</v>
      </c>
      <c r="K158" s="87">
        <v>43248</v>
      </c>
      <c r="L158" s="93"/>
      <c r="M158" s="250"/>
    </row>
    <row r="159" spans="1:13" s="10" customFormat="1" ht="13.5" customHeight="1" x14ac:dyDescent="0.25">
      <c r="A159" s="66" t="s">
        <v>722</v>
      </c>
      <c r="B159" s="1" t="s">
        <v>6</v>
      </c>
      <c r="C159" s="82" t="s">
        <v>7</v>
      </c>
      <c r="D159" s="109">
        <v>20180572</v>
      </c>
      <c r="E159" s="86" t="s">
        <v>5</v>
      </c>
      <c r="F159" s="85"/>
      <c r="G159" s="80">
        <v>43248</v>
      </c>
      <c r="H159" s="9">
        <v>1000</v>
      </c>
      <c r="I159" s="84">
        <v>518</v>
      </c>
      <c r="J159" s="84">
        <v>518000</v>
      </c>
      <c r="K159" s="87">
        <v>43248</v>
      </c>
      <c r="L159" s="93"/>
      <c r="M159" s="250"/>
    </row>
    <row r="160" spans="1:13" s="10" customFormat="1" ht="13.5" customHeight="1" x14ac:dyDescent="0.25">
      <c r="A160" s="66" t="s">
        <v>734</v>
      </c>
      <c r="B160" s="1" t="s">
        <v>6</v>
      </c>
      <c r="C160" s="82" t="s">
        <v>7</v>
      </c>
      <c r="D160" s="109">
        <v>20180568</v>
      </c>
      <c r="E160" s="86" t="s">
        <v>5</v>
      </c>
      <c r="F160" s="85"/>
      <c r="G160" s="80">
        <v>43248</v>
      </c>
      <c r="H160" s="9">
        <v>125</v>
      </c>
      <c r="I160" s="84">
        <v>518</v>
      </c>
      <c r="J160" s="84">
        <v>64750</v>
      </c>
      <c r="K160" s="87">
        <v>43248</v>
      </c>
      <c r="L160" s="93"/>
      <c r="M160" s="250"/>
    </row>
    <row r="161" spans="1:13" s="10" customFormat="1" ht="13.5" customHeight="1" x14ac:dyDescent="0.3">
      <c r="A161" s="66" t="s">
        <v>568</v>
      </c>
      <c r="B161" s="1" t="s">
        <v>359</v>
      </c>
      <c r="C161" s="82" t="s">
        <v>7</v>
      </c>
      <c r="D161" s="109">
        <v>20180238</v>
      </c>
      <c r="E161" s="86">
        <v>90</v>
      </c>
      <c r="F161" s="85" t="s">
        <v>20</v>
      </c>
      <c r="G161" s="80">
        <v>43249</v>
      </c>
      <c r="H161" s="9">
        <v>159</v>
      </c>
      <c r="I161" s="84">
        <v>825</v>
      </c>
      <c r="J161" s="84">
        <f>+H161*I161</f>
        <v>131175</v>
      </c>
      <c r="K161" s="87">
        <v>43250</v>
      </c>
      <c r="L161" s="93" t="s">
        <v>499</v>
      </c>
      <c r="M161" s="250"/>
    </row>
    <row r="162" spans="1:13" s="10" customFormat="1" ht="13.5" customHeight="1" x14ac:dyDescent="0.3">
      <c r="A162" s="66" t="s">
        <v>569</v>
      </c>
      <c r="B162" s="1" t="s">
        <v>359</v>
      </c>
      <c r="C162" s="82" t="s">
        <v>7</v>
      </c>
      <c r="D162" s="109">
        <v>20180239</v>
      </c>
      <c r="E162" s="86">
        <v>90</v>
      </c>
      <c r="F162" s="85" t="s">
        <v>20</v>
      </c>
      <c r="G162" s="80">
        <v>43249</v>
      </c>
      <c r="H162" s="9">
        <v>159</v>
      </c>
      <c r="I162" s="84">
        <v>830</v>
      </c>
      <c r="J162" s="84">
        <f>+H162*I162</f>
        <v>131970</v>
      </c>
      <c r="K162" s="87">
        <v>43250</v>
      </c>
      <c r="L162" s="93" t="s">
        <v>499</v>
      </c>
      <c r="M162" s="250"/>
    </row>
    <row r="163" spans="1:13" s="10" customFormat="1" ht="13.5" customHeight="1" x14ac:dyDescent="0.25">
      <c r="A163" s="66" t="s">
        <v>704</v>
      </c>
      <c r="B163" s="1" t="s">
        <v>32</v>
      </c>
      <c r="C163" s="82" t="s">
        <v>46</v>
      </c>
      <c r="D163" s="109"/>
      <c r="E163" s="86" t="s">
        <v>5</v>
      </c>
      <c r="F163" s="85"/>
      <c r="G163" s="80">
        <v>43256</v>
      </c>
      <c r="H163" s="9">
        <v>4500</v>
      </c>
      <c r="I163" s="84">
        <v>264.5</v>
      </c>
      <c r="J163" s="84">
        <f t="shared" ref="J163:J168" si="0">+I163*H163</f>
        <v>1190250</v>
      </c>
      <c r="K163" s="87">
        <v>43256</v>
      </c>
      <c r="L163" s="93"/>
      <c r="M163" s="250"/>
    </row>
    <row r="164" spans="1:13" s="10" customFormat="1" ht="13.5" customHeight="1" x14ac:dyDescent="0.25">
      <c r="A164" s="66" t="s">
        <v>709</v>
      </c>
      <c r="B164" s="1" t="s">
        <v>243</v>
      </c>
      <c r="C164" s="82" t="s">
        <v>46</v>
      </c>
      <c r="D164" s="109"/>
      <c r="E164" s="86" t="s">
        <v>5</v>
      </c>
      <c r="F164" s="85"/>
      <c r="G164" s="80">
        <v>43256</v>
      </c>
      <c r="H164" s="9">
        <v>5400</v>
      </c>
      <c r="I164" s="84">
        <v>246</v>
      </c>
      <c r="J164" s="84">
        <f t="shared" si="0"/>
        <v>1328400</v>
      </c>
      <c r="K164" s="87">
        <v>43256</v>
      </c>
      <c r="L164" s="93"/>
      <c r="M164" s="250"/>
    </row>
    <row r="165" spans="1:13" s="10" customFormat="1" ht="13.5" customHeight="1" x14ac:dyDescent="0.25">
      <c r="A165" s="66" t="s">
        <v>683</v>
      </c>
      <c r="B165" s="1" t="s">
        <v>6</v>
      </c>
      <c r="C165" s="82" t="s">
        <v>7</v>
      </c>
      <c r="D165" s="109">
        <v>20180710</v>
      </c>
      <c r="E165" s="86" t="s">
        <v>5</v>
      </c>
      <c r="F165" s="85"/>
      <c r="G165" s="80">
        <v>43257</v>
      </c>
      <c r="H165" s="9">
        <v>675</v>
      </c>
      <c r="I165" s="84">
        <v>513</v>
      </c>
      <c r="J165" s="84">
        <f t="shared" si="0"/>
        <v>346275</v>
      </c>
      <c r="K165" s="87">
        <v>43257</v>
      </c>
      <c r="L165" s="93"/>
      <c r="M165" s="250"/>
    </row>
    <row r="166" spans="1:13" s="10" customFormat="1" ht="13.5" customHeight="1" x14ac:dyDescent="0.3">
      <c r="A166" s="66" t="s">
        <v>731</v>
      </c>
      <c r="B166" s="1" t="s">
        <v>14</v>
      </c>
      <c r="C166" s="82" t="s">
        <v>15</v>
      </c>
      <c r="D166" s="109">
        <v>21669</v>
      </c>
      <c r="E166" s="86" t="s">
        <v>5</v>
      </c>
      <c r="F166" s="85"/>
      <c r="G166" s="80">
        <v>43257</v>
      </c>
      <c r="H166" s="9">
        <v>425.6</v>
      </c>
      <c r="I166" s="84">
        <v>908</v>
      </c>
      <c r="J166" s="84">
        <f t="shared" si="0"/>
        <v>386444.80000000005</v>
      </c>
      <c r="K166" s="87">
        <v>43257</v>
      </c>
      <c r="L166" s="93"/>
      <c r="M166" s="250"/>
    </row>
    <row r="167" spans="1:13" s="10" customFormat="1" ht="13.5" customHeight="1" x14ac:dyDescent="0.3">
      <c r="A167" s="66" t="s">
        <v>732</v>
      </c>
      <c r="B167" s="1" t="s">
        <v>14</v>
      </c>
      <c r="C167" s="82" t="s">
        <v>15</v>
      </c>
      <c r="D167" s="109">
        <v>21591</v>
      </c>
      <c r="E167" s="86" t="s">
        <v>5</v>
      </c>
      <c r="F167" s="85"/>
      <c r="G167" s="80">
        <v>43257</v>
      </c>
      <c r="H167" s="9">
        <v>425.6</v>
      </c>
      <c r="I167" s="84">
        <v>912</v>
      </c>
      <c r="J167" s="84">
        <f t="shared" si="0"/>
        <v>388147.20000000001</v>
      </c>
      <c r="K167" s="87">
        <v>43257</v>
      </c>
      <c r="L167" s="93"/>
      <c r="M167" s="250"/>
    </row>
    <row r="168" spans="1:13" s="10" customFormat="1" ht="13.5" customHeight="1" x14ac:dyDescent="0.25">
      <c r="A168" s="66" t="s">
        <v>733</v>
      </c>
      <c r="B168" s="1" t="s">
        <v>4</v>
      </c>
      <c r="C168" s="82" t="s">
        <v>245</v>
      </c>
      <c r="D168" s="109">
        <v>4200597824</v>
      </c>
      <c r="E168" s="86" t="s">
        <v>5</v>
      </c>
      <c r="F168" s="85"/>
      <c r="G168" s="80">
        <v>43258</v>
      </c>
      <c r="H168" s="9">
        <v>588</v>
      </c>
      <c r="I168" s="84">
        <v>525</v>
      </c>
      <c r="J168" s="84">
        <f t="shared" si="0"/>
        <v>308700</v>
      </c>
      <c r="K168" s="87">
        <v>43259</v>
      </c>
      <c r="L168" s="93"/>
      <c r="M168" s="250"/>
    </row>
    <row r="169" spans="1:13" s="10" customFormat="1" ht="13.5" customHeight="1" x14ac:dyDescent="0.25">
      <c r="A169" s="66" t="s">
        <v>514</v>
      </c>
      <c r="B169" s="1" t="s">
        <v>4</v>
      </c>
      <c r="C169" s="82" t="s">
        <v>245</v>
      </c>
      <c r="D169" s="109"/>
      <c r="E169" s="86"/>
      <c r="F169" s="85"/>
      <c r="G169" s="80">
        <v>43266</v>
      </c>
      <c r="H169" s="9">
        <v>588</v>
      </c>
      <c r="I169" s="84">
        <v>-10</v>
      </c>
      <c r="J169" s="84">
        <f>+H169*I169</f>
        <v>-5880</v>
      </c>
      <c r="K169" s="87">
        <v>43259</v>
      </c>
      <c r="L169" s="93"/>
      <c r="M169" s="250"/>
    </row>
    <row r="170" spans="1:13" s="10" customFormat="1" ht="13.5" customHeight="1" x14ac:dyDescent="0.3">
      <c r="A170" s="66" t="s">
        <v>686</v>
      </c>
      <c r="B170" s="1" t="s">
        <v>12</v>
      </c>
      <c r="C170" s="82" t="s">
        <v>280</v>
      </c>
      <c r="D170" s="109" t="s">
        <v>690</v>
      </c>
      <c r="E170" s="86">
        <v>60</v>
      </c>
      <c r="F170" s="85" t="s">
        <v>20</v>
      </c>
      <c r="G170" s="80">
        <v>43258</v>
      </c>
      <c r="H170" s="9">
        <v>594</v>
      </c>
      <c r="I170" s="84">
        <v>152</v>
      </c>
      <c r="J170" s="84">
        <f>+I170*H170</f>
        <v>90288</v>
      </c>
      <c r="K170" s="87">
        <v>43259</v>
      </c>
      <c r="L170" s="93"/>
      <c r="M170" s="250"/>
    </row>
    <row r="171" spans="1:13" s="10" customFormat="1" ht="13.5" customHeight="1" x14ac:dyDescent="0.25">
      <c r="A171" s="66" t="s">
        <v>658</v>
      </c>
      <c r="B171" s="1" t="s">
        <v>56</v>
      </c>
      <c r="C171" s="82" t="s">
        <v>50</v>
      </c>
      <c r="D171" s="109" t="s">
        <v>712</v>
      </c>
      <c r="E171" s="86" t="s">
        <v>158</v>
      </c>
      <c r="F171" s="85"/>
      <c r="G171" s="80">
        <v>43258</v>
      </c>
      <c r="H171" s="9">
        <v>336</v>
      </c>
      <c r="I171" s="84">
        <v>315</v>
      </c>
      <c r="J171" s="84">
        <f>+I171*H171</f>
        <v>105840</v>
      </c>
      <c r="K171" s="87">
        <v>43259</v>
      </c>
      <c r="L171" s="93"/>
      <c r="M171" s="250"/>
    </row>
    <row r="172" spans="1:13" s="10" customFormat="1" ht="13.5" customHeight="1" x14ac:dyDescent="0.25">
      <c r="A172" s="66" t="s">
        <v>659</v>
      </c>
      <c r="B172" s="1" t="s">
        <v>56</v>
      </c>
      <c r="C172" s="82" t="s">
        <v>50</v>
      </c>
      <c r="D172" s="109" t="s">
        <v>713</v>
      </c>
      <c r="E172" s="86" t="s">
        <v>158</v>
      </c>
      <c r="F172" s="85"/>
      <c r="G172" s="80">
        <v>43258</v>
      </c>
      <c r="H172" s="9">
        <v>312</v>
      </c>
      <c r="I172" s="84">
        <v>320</v>
      </c>
      <c r="J172" s="84">
        <f>+I172*H172</f>
        <v>99840</v>
      </c>
      <c r="K172" s="87">
        <v>43259</v>
      </c>
      <c r="L172" s="93"/>
      <c r="M172" s="250"/>
    </row>
    <row r="173" spans="1:13" s="10" customFormat="1" ht="13.5" customHeight="1" x14ac:dyDescent="0.25">
      <c r="A173" s="66" t="s">
        <v>766</v>
      </c>
      <c r="B173" s="1" t="s">
        <v>6</v>
      </c>
      <c r="C173" s="82" t="s">
        <v>17</v>
      </c>
      <c r="D173" s="109" t="s">
        <v>772</v>
      </c>
      <c r="E173" s="86" t="s">
        <v>5</v>
      </c>
      <c r="F173" s="85"/>
      <c r="G173" s="80">
        <v>43265</v>
      </c>
      <c r="H173" s="9">
        <v>450</v>
      </c>
      <c r="I173" s="84">
        <v>514</v>
      </c>
      <c r="J173" s="84">
        <v>46260</v>
      </c>
      <c r="K173" s="87">
        <v>43266</v>
      </c>
      <c r="L173" s="93" t="s">
        <v>774</v>
      </c>
      <c r="M173" s="250"/>
    </row>
    <row r="174" spans="1:13" s="10" customFormat="1" ht="13.5" customHeight="1" x14ac:dyDescent="0.25">
      <c r="A174" s="66" t="s">
        <v>767</v>
      </c>
      <c r="B174" s="1" t="s">
        <v>6</v>
      </c>
      <c r="C174" s="82" t="s">
        <v>17</v>
      </c>
      <c r="D174" s="109" t="s">
        <v>773</v>
      </c>
      <c r="E174" s="86" t="s">
        <v>5</v>
      </c>
      <c r="F174" s="85"/>
      <c r="G174" s="80">
        <v>43265</v>
      </c>
      <c r="H174" s="9">
        <v>250</v>
      </c>
      <c r="I174" s="84">
        <v>505</v>
      </c>
      <c r="J174" s="84">
        <v>25250</v>
      </c>
      <c r="K174" s="87">
        <v>43266</v>
      </c>
      <c r="L174" s="93" t="s">
        <v>774</v>
      </c>
      <c r="M174" s="250"/>
    </row>
    <row r="175" spans="1:13" s="10" customFormat="1" ht="13.5" customHeight="1" x14ac:dyDescent="0.3">
      <c r="A175" s="66" t="s">
        <v>566</v>
      </c>
      <c r="B175" s="1" t="s">
        <v>576</v>
      </c>
      <c r="C175" s="82" t="s">
        <v>15</v>
      </c>
      <c r="D175" s="109" t="s">
        <v>456</v>
      </c>
      <c r="E175" s="86">
        <v>90</v>
      </c>
      <c r="F175" s="85" t="s">
        <v>20</v>
      </c>
      <c r="G175" s="80">
        <v>43286</v>
      </c>
      <c r="H175" s="9">
        <v>6000</v>
      </c>
      <c r="I175" s="84">
        <v>150</v>
      </c>
      <c r="J175" s="84">
        <f>+H175*I175</f>
        <v>900000</v>
      </c>
      <c r="K175" s="87">
        <v>43280</v>
      </c>
      <c r="L175" s="93"/>
      <c r="M175" s="250"/>
    </row>
    <row r="176" spans="1:13" s="10" customFormat="1" ht="13.5" customHeight="1" x14ac:dyDescent="0.3">
      <c r="A176" s="66" t="s">
        <v>514</v>
      </c>
      <c r="B176" s="1" t="s">
        <v>576</v>
      </c>
      <c r="C176" s="82" t="s">
        <v>15</v>
      </c>
      <c r="D176" s="109"/>
      <c r="E176" s="86"/>
      <c r="F176" s="85"/>
      <c r="G176" s="80">
        <v>43286</v>
      </c>
      <c r="H176" s="9">
        <v>10000</v>
      </c>
      <c r="I176" s="84">
        <v>-3</v>
      </c>
      <c r="J176" s="84">
        <f>+H176*I176</f>
        <v>-30000</v>
      </c>
      <c r="K176" s="87">
        <v>43280</v>
      </c>
      <c r="L176" s="93"/>
      <c r="M176" s="250"/>
    </row>
    <row r="177" spans="1:13" s="10" customFormat="1" ht="13.5" customHeight="1" x14ac:dyDescent="0.3">
      <c r="A177" s="66" t="s">
        <v>573</v>
      </c>
      <c r="B177" s="1" t="s">
        <v>35</v>
      </c>
      <c r="C177" s="82" t="s">
        <v>47</v>
      </c>
      <c r="D177" s="109" t="s">
        <v>737</v>
      </c>
      <c r="E177" s="86">
        <v>90</v>
      </c>
      <c r="F177" s="85" t="s">
        <v>20</v>
      </c>
      <c r="G177" s="80">
        <v>43275</v>
      </c>
      <c r="H177" s="9">
        <v>100</v>
      </c>
      <c r="I177" s="84">
        <v>627</v>
      </c>
      <c r="J177" s="84">
        <f>+H177*I177</f>
        <v>62700</v>
      </c>
      <c r="K177" s="87">
        <v>43277</v>
      </c>
      <c r="L177" s="93"/>
      <c r="M177" s="250"/>
    </row>
    <row r="178" spans="1:13" s="10" customFormat="1" ht="13.5" customHeight="1" x14ac:dyDescent="0.25">
      <c r="A178" s="66" t="s">
        <v>730</v>
      </c>
      <c r="B178" s="1" t="s">
        <v>13</v>
      </c>
      <c r="C178" s="82" t="s">
        <v>15</v>
      </c>
      <c r="D178" s="109">
        <v>22071</v>
      </c>
      <c r="E178" s="86" t="s">
        <v>5</v>
      </c>
      <c r="F178" s="85"/>
      <c r="G178" s="80">
        <v>43279</v>
      </c>
      <c r="H178" s="9">
        <v>160</v>
      </c>
      <c r="I178" s="84">
        <v>814</v>
      </c>
      <c r="J178" s="84">
        <f>+I178*H178</f>
        <v>130240</v>
      </c>
      <c r="K178" s="87">
        <v>43277</v>
      </c>
      <c r="L178" s="93"/>
      <c r="M178" s="250"/>
    </row>
    <row r="179" spans="1:13" s="10" customFormat="1" ht="13.5" customHeight="1" x14ac:dyDescent="0.3">
      <c r="A179" s="66" t="s">
        <v>681</v>
      </c>
      <c r="B179" s="1" t="s">
        <v>359</v>
      </c>
      <c r="C179" s="82" t="s">
        <v>245</v>
      </c>
      <c r="D179" s="109">
        <v>4200593960</v>
      </c>
      <c r="E179" s="86">
        <v>60</v>
      </c>
      <c r="F179" s="85" t="s">
        <v>45</v>
      </c>
      <c r="G179" s="80">
        <v>43287</v>
      </c>
      <c r="H179" s="9">
        <v>240</v>
      </c>
      <c r="I179" s="84">
        <v>815</v>
      </c>
      <c r="J179" s="84">
        <f>+I179*H179</f>
        <v>195600</v>
      </c>
      <c r="K179" s="87">
        <v>43287</v>
      </c>
      <c r="L179" s="93"/>
      <c r="M179" s="250"/>
    </row>
    <row r="180" spans="1:13" s="10" customFormat="1" ht="13.5" customHeight="1" x14ac:dyDescent="0.3">
      <c r="A180" s="66" t="s">
        <v>678</v>
      </c>
      <c r="B180" s="1" t="s">
        <v>6</v>
      </c>
      <c r="C180" s="82" t="s">
        <v>246</v>
      </c>
      <c r="D180" s="109">
        <v>3300003218</v>
      </c>
      <c r="E180" s="86">
        <v>90</v>
      </c>
      <c r="F180" s="85" t="s">
        <v>20</v>
      </c>
      <c r="G180" s="80">
        <v>43290</v>
      </c>
      <c r="H180" s="9">
        <v>162</v>
      </c>
      <c r="I180" s="84">
        <v>532</v>
      </c>
      <c r="J180" s="84">
        <v>86184</v>
      </c>
      <c r="K180" s="87">
        <v>43290</v>
      </c>
      <c r="L180" s="93"/>
      <c r="M180" s="250"/>
    </row>
    <row r="181" spans="1:13" s="10" customFormat="1" ht="13.5" customHeight="1" x14ac:dyDescent="0.25">
      <c r="A181" s="66" t="s">
        <v>729</v>
      </c>
      <c r="B181" s="1" t="s">
        <v>13</v>
      </c>
      <c r="C181" s="82" t="s">
        <v>15</v>
      </c>
      <c r="D181" s="109" t="s">
        <v>778</v>
      </c>
      <c r="E181" s="86" t="s">
        <v>5</v>
      </c>
      <c r="F181" s="85"/>
      <c r="G181" s="80">
        <v>43290</v>
      </c>
      <c r="H181" s="9">
        <v>240</v>
      </c>
      <c r="I181" s="84">
        <v>808</v>
      </c>
      <c r="J181" s="84">
        <v>193920</v>
      </c>
      <c r="K181" s="87">
        <v>43290</v>
      </c>
      <c r="L181" s="93"/>
      <c r="M181" s="250"/>
    </row>
    <row r="182" spans="1:13" s="10" customFormat="1" ht="13.5" customHeight="1" x14ac:dyDescent="0.3">
      <c r="A182" s="66" t="s">
        <v>682</v>
      </c>
      <c r="B182" s="1" t="s">
        <v>359</v>
      </c>
      <c r="C182" s="82" t="s">
        <v>245</v>
      </c>
      <c r="D182" s="109">
        <v>4200596310</v>
      </c>
      <c r="E182" s="86">
        <v>60</v>
      </c>
      <c r="F182" s="85" t="s">
        <v>45</v>
      </c>
      <c r="G182" s="80">
        <v>43294</v>
      </c>
      <c r="H182" s="9">
        <v>240</v>
      </c>
      <c r="I182" s="84">
        <v>820</v>
      </c>
      <c r="J182" s="84">
        <f>+I182*H182</f>
        <v>196800</v>
      </c>
      <c r="K182" s="87">
        <v>43294</v>
      </c>
      <c r="L182" s="93"/>
      <c r="M182" s="250"/>
    </row>
    <row r="183" spans="1:13" s="10" customFormat="1" ht="13.5" customHeight="1" x14ac:dyDescent="0.25">
      <c r="A183" s="66" t="s">
        <v>725</v>
      </c>
      <c r="B183" s="1" t="s">
        <v>359</v>
      </c>
      <c r="C183" s="82" t="s">
        <v>7</v>
      </c>
      <c r="D183" s="109" t="s">
        <v>793</v>
      </c>
      <c r="E183" s="86" t="s">
        <v>5</v>
      </c>
      <c r="F183" s="85"/>
      <c r="G183" s="80">
        <v>43293</v>
      </c>
      <c r="H183" s="9">
        <v>265</v>
      </c>
      <c r="I183" s="84">
        <v>786</v>
      </c>
      <c r="J183" s="84">
        <f>+H183*I183</f>
        <v>208290</v>
      </c>
      <c r="K183" s="87">
        <v>43294</v>
      </c>
      <c r="L183" s="93"/>
      <c r="M183" s="250"/>
    </row>
    <row r="184" spans="1:13" s="10" customFormat="1" ht="13.5" customHeight="1" x14ac:dyDescent="0.25">
      <c r="A184" s="66" t="s">
        <v>726</v>
      </c>
      <c r="B184" s="1" t="s">
        <v>359</v>
      </c>
      <c r="C184" s="82" t="s">
        <v>7</v>
      </c>
      <c r="D184" s="109" t="s">
        <v>792</v>
      </c>
      <c r="E184" s="86" t="s">
        <v>5</v>
      </c>
      <c r="F184" s="85"/>
      <c r="G184" s="80">
        <v>43293</v>
      </c>
      <c r="H184" s="9">
        <v>265</v>
      </c>
      <c r="I184" s="84">
        <v>791</v>
      </c>
      <c r="J184" s="84">
        <f>+H184*I184</f>
        <v>209615</v>
      </c>
      <c r="K184" s="87">
        <v>43294</v>
      </c>
      <c r="L184" s="93"/>
      <c r="M184" s="250"/>
    </row>
    <row r="185" spans="1:13" s="10" customFormat="1" ht="13.5" customHeight="1" x14ac:dyDescent="0.3">
      <c r="A185" s="66" t="s">
        <v>758</v>
      </c>
      <c r="B185" s="1" t="s">
        <v>289</v>
      </c>
      <c r="C185" s="82" t="s">
        <v>15</v>
      </c>
      <c r="D185" s="109" t="s">
        <v>759</v>
      </c>
      <c r="E185" s="86" t="s">
        <v>5</v>
      </c>
      <c r="F185" s="85"/>
      <c r="G185" s="80">
        <v>43298</v>
      </c>
      <c r="H185" s="9">
        <v>2800</v>
      </c>
      <c r="I185" s="84">
        <v>442</v>
      </c>
      <c r="J185" s="84">
        <f>+I185*H185</f>
        <v>1237600</v>
      </c>
      <c r="K185" s="87">
        <v>43298</v>
      </c>
      <c r="L185" s="93"/>
      <c r="M185" s="250"/>
    </row>
    <row r="186" spans="1:13" s="10" customFormat="1" ht="13.5" customHeight="1" x14ac:dyDescent="0.25">
      <c r="A186" s="66" t="s">
        <v>767</v>
      </c>
      <c r="B186" s="1" t="s">
        <v>6</v>
      </c>
      <c r="C186" s="82" t="s">
        <v>17</v>
      </c>
      <c r="D186" s="109" t="s">
        <v>773</v>
      </c>
      <c r="E186" s="86" t="s">
        <v>5</v>
      </c>
      <c r="F186" s="85"/>
      <c r="G186" s="80">
        <v>43298</v>
      </c>
      <c r="H186" s="9">
        <v>250</v>
      </c>
      <c r="I186" s="84">
        <v>505</v>
      </c>
      <c r="J186" s="84">
        <v>25250</v>
      </c>
      <c r="K186" s="87">
        <v>43298</v>
      </c>
      <c r="L186" s="93"/>
      <c r="M186" s="250"/>
    </row>
    <row r="187" spans="1:13" s="10" customFormat="1" ht="13.5" customHeight="1" x14ac:dyDescent="0.25">
      <c r="A187" s="66" t="s">
        <v>775</v>
      </c>
      <c r="B187" s="1" t="s">
        <v>6</v>
      </c>
      <c r="C187" s="82" t="s">
        <v>17</v>
      </c>
      <c r="D187" s="109" t="s">
        <v>776</v>
      </c>
      <c r="E187" s="86" t="s">
        <v>5</v>
      </c>
      <c r="F187" s="85"/>
      <c r="G187" s="80">
        <v>43298</v>
      </c>
      <c r="H187" s="9">
        <v>1050</v>
      </c>
      <c r="I187" s="84">
        <v>514</v>
      </c>
      <c r="J187" s="84">
        <v>107940</v>
      </c>
      <c r="K187" s="87">
        <v>43298</v>
      </c>
      <c r="L187" s="93"/>
      <c r="M187" s="250"/>
    </row>
    <row r="188" spans="1:13" s="10" customFormat="1" ht="13.5" customHeight="1" x14ac:dyDescent="0.3">
      <c r="A188" s="66" t="s">
        <v>679</v>
      </c>
      <c r="B188" s="1" t="s">
        <v>6</v>
      </c>
      <c r="C188" s="82" t="s">
        <v>246</v>
      </c>
      <c r="D188" s="109">
        <v>3300003534</v>
      </c>
      <c r="E188" s="86">
        <v>90</v>
      </c>
      <c r="F188" s="85" t="s">
        <v>20</v>
      </c>
      <c r="G188" s="80">
        <v>43298</v>
      </c>
      <c r="H188" s="9">
        <v>351</v>
      </c>
      <c r="I188" s="84">
        <v>537</v>
      </c>
      <c r="J188" s="84">
        <v>188487</v>
      </c>
      <c r="K188" s="87">
        <v>43234</v>
      </c>
      <c r="L188" s="93"/>
      <c r="M188" s="250"/>
    </row>
    <row r="189" spans="1:13" s="10" customFormat="1" ht="13.5" customHeight="1" x14ac:dyDescent="0.25">
      <c r="A189" s="66" t="s">
        <v>727</v>
      </c>
      <c r="B189" s="1" t="s">
        <v>359</v>
      </c>
      <c r="C189" s="82" t="s">
        <v>7</v>
      </c>
      <c r="D189" s="109" t="s">
        <v>797</v>
      </c>
      <c r="E189" s="86" t="s">
        <v>5</v>
      </c>
      <c r="F189" s="85"/>
      <c r="G189" s="80">
        <v>43300</v>
      </c>
      <c r="H189" s="9">
        <v>291.5</v>
      </c>
      <c r="I189" s="84">
        <v>786</v>
      </c>
      <c r="J189" s="84">
        <f>+H189*I189</f>
        <v>229119</v>
      </c>
      <c r="K189" s="87">
        <v>43301</v>
      </c>
      <c r="L189" s="93"/>
      <c r="M189" s="250"/>
    </row>
    <row r="190" spans="1:13" s="10" customFormat="1" ht="13.5" customHeight="1" x14ac:dyDescent="0.3">
      <c r="A190" s="66" t="s">
        <v>566</v>
      </c>
      <c r="B190" s="1" t="s">
        <v>791</v>
      </c>
      <c r="C190" s="82" t="s">
        <v>15</v>
      </c>
      <c r="D190" s="109" t="s">
        <v>456</v>
      </c>
      <c r="E190" s="86">
        <v>90</v>
      </c>
      <c r="F190" s="85" t="s">
        <v>20</v>
      </c>
      <c r="G190" s="80">
        <v>43306</v>
      </c>
      <c r="H190" s="9">
        <v>4000</v>
      </c>
      <c r="I190" s="84">
        <v>147</v>
      </c>
      <c r="J190" s="84">
        <v>441000</v>
      </c>
      <c r="K190" s="87">
        <v>43305</v>
      </c>
      <c r="L190" s="93"/>
      <c r="M190" s="250"/>
    </row>
    <row r="191" spans="1:13" s="10" customFormat="1" ht="13.5" customHeight="1" x14ac:dyDescent="0.25">
      <c r="A191" s="66" t="s">
        <v>765</v>
      </c>
      <c r="B191" s="1" t="s">
        <v>6</v>
      </c>
      <c r="C191" s="82" t="s">
        <v>17</v>
      </c>
      <c r="D191" s="109">
        <v>18070014</v>
      </c>
      <c r="E191" s="86" t="s">
        <v>5</v>
      </c>
      <c r="F191" s="85"/>
      <c r="G191" s="80">
        <v>43306</v>
      </c>
      <c r="H191" s="9">
        <v>250</v>
      </c>
      <c r="I191" s="84">
        <v>505</v>
      </c>
      <c r="J191" s="84">
        <f>+I191*H191*0.8</f>
        <v>101000</v>
      </c>
      <c r="K191" s="87">
        <v>43306</v>
      </c>
      <c r="L191" s="93" t="s">
        <v>777</v>
      </c>
      <c r="M191" s="250"/>
    </row>
    <row r="192" spans="1:13" s="10" customFormat="1" ht="13.5" customHeight="1" x14ac:dyDescent="0.25">
      <c r="A192" s="66" t="s">
        <v>766</v>
      </c>
      <c r="B192" s="1" t="s">
        <v>6</v>
      </c>
      <c r="C192" s="82" t="s">
        <v>17</v>
      </c>
      <c r="D192" s="109">
        <v>18070019</v>
      </c>
      <c r="E192" s="86" t="s">
        <v>5</v>
      </c>
      <c r="F192" s="85"/>
      <c r="G192" s="80">
        <v>43306</v>
      </c>
      <c r="H192" s="9">
        <v>250</v>
      </c>
      <c r="I192" s="84">
        <v>514</v>
      </c>
      <c r="J192" s="84">
        <f>+I192*H192*0.8</f>
        <v>102800</v>
      </c>
      <c r="K192" s="87">
        <v>43306</v>
      </c>
      <c r="L192" s="93" t="s">
        <v>777</v>
      </c>
      <c r="M192" s="250"/>
    </row>
    <row r="193" spans="1:13" s="10" customFormat="1" ht="13.5" customHeight="1" x14ac:dyDescent="0.25">
      <c r="A193" s="66" t="s">
        <v>728</v>
      </c>
      <c r="B193" s="1" t="s">
        <v>359</v>
      </c>
      <c r="C193" s="82" t="s">
        <v>7</v>
      </c>
      <c r="D193" s="109" t="s">
        <v>798</v>
      </c>
      <c r="E193" s="86" t="s">
        <v>5</v>
      </c>
      <c r="F193" s="85"/>
      <c r="G193" s="80">
        <v>43307</v>
      </c>
      <c r="H193" s="9">
        <v>291.5</v>
      </c>
      <c r="I193" s="84">
        <v>791</v>
      </c>
      <c r="J193" s="84">
        <f>+H193*I193</f>
        <v>230576.5</v>
      </c>
      <c r="K193" s="87">
        <v>43306</v>
      </c>
      <c r="L193" s="93"/>
      <c r="M193" s="250"/>
    </row>
    <row r="194" spans="1:13" s="10" customFormat="1" ht="13.5" customHeight="1" x14ac:dyDescent="0.25">
      <c r="A194" s="66" t="s">
        <v>807</v>
      </c>
      <c r="B194" s="1" t="s">
        <v>6</v>
      </c>
      <c r="C194" s="82" t="s">
        <v>17</v>
      </c>
      <c r="D194" s="109">
        <v>18070039</v>
      </c>
      <c r="E194" s="86" t="s">
        <v>5</v>
      </c>
      <c r="F194" s="85"/>
      <c r="G194" s="80">
        <v>43319</v>
      </c>
      <c r="H194" s="9">
        <v>400</v>
      </c>
      <c r="I194" s="84">
        <v>514</v>
      </c>
      <c r="J194" s="84">
        <f>+I194*H194*0.8</f>
        <v>164480</v>
      </c>
      <c r="K194" s="87">
        <v>43319</v>
      </c>
      <c r="L194" s="93" t="s">
        <v>777</v>
      </c>
      <c r="M194" s="250"/>
    </row>
    <row r="195" spans="1:13" s="10" customFormat="1" ht="13.5" customHeight="1" x14ac:dyDescent="0.3">
      <c r="A195" s="66" t="s">
        <v>675</v>
      </c>
      <c r="B195" s="1" t="s">
        <v>359</v>
      </c>
      <c r="C195" s="82" t="s">
        <v>41</v>
      </c>
      <c r="D195" s="109" t="s">
        <v>760</v>
      </c>
      <c r="E195" s="86">
        <v>120</v>
      </c>
      <c r="F195" s="85" t="s">
        <v>20</v>
      </c>
      <c r="G195" s="80">
        <v>43322</v>
      </c>
      <c r="H195" s="9">
        <v>48</v>
      </c>
      <c r="I195" s="84">
        <v>820</v>
      </c>
      <c r="J195" s="84">
        <v>39360</v>
      </c>
      <c r="K195" s="87">
        <v>43322</v>
      </c>
      <c r="L195" s="93"/>
      <c r="M195" s="250"/>
    </row>
    <row r="196" spans="1:13" s="10" customFormat="1" ht="13.5" customHeight="1" x14ac:dyDescent="0.25">
      <c r="A196" s="66" t="s">
        <v>782</v>
      </c>
      <c r="B196" s="1" t="s">
        <v>788</v>
      </c>
      <c r="C196" s="82" t="s">
        <v>15</v>
      </c>
      <c r="D196" s="109" t="s">
        <v>456</v>
      </c>
      <c r="E196" s="86" t="s">
        <v>5</v>
      </c>
      <c r="F196" s="85"/>
      <c r="G196" s="80">
        <v>43322</v>
      </c>
      <c r="H196" s="9">
        <v>1100</v>
      </c>
      <c r="I196" s="84">
        <v>193</v>
      </c>
      <c r="J196" s="84">
        <v>212300</v>
      </c>
      <c r="K196" s="87">
        <v>43322</v>
      </c>
      <c r="L196" s="93"/>
      <c r="M196" s="250"/>
    </row>
    <row r="197" spans="1:13" s="10" customFormat="1" ht="13.5" customHeight="1" x14ac:dyDescent="0.25">
      <c r="A197" s="66" t="s">
        <v>802</v>
      </c>
      <c r="B197" s="1" t="s">
        <v>449</v>
      </c>
      <c r="C197" s="82" t="s">
        <v>512</v>
      </c>
      <c r="D197" s="109" t="s">
        <v>456</v>
      </c>
      <c r="E197" s="86" t="s">
        <v>5</v>
      </c>
      <c r="F197" s="85"/>
      <c r="G197" s="80">
        <v>43326</v>
      </c>
      <c r="H197" s="9">
        <v>4488</v>
      </c>
      <c r="I197" s="84">
        <v>260</v>
      </c>
      <c r="J197" s="84">
        <f>+I197*H197</f>
        <v>1166880</v>
      </c>
      <c r="K197" s="87">
        <v>43326</v>
      </c>
      <c r="L197" s="93"/>
      <c r="M197" s="250"/>
    </row>
    <row r="198" spans="1:13" s="10" customFormat="1" ht="13.5" customHeight="1" x14ac:dyDescent="0.3">
      <c r="A198" s="66" t="s">
        <v>781</v>
      </c>
      <c r="B198" s="1" t="s">
        <v>576</v>
      </c>
      <c r="C198" s="82" t="s">
        <v>15</v>
      </c>
      <c r="D198" s="109" t="s">
        <v>456</v>
      </c>
      <c r="E198" s="86" t="s">
        <v>5</v>
      </c>
      <c r="F198" s="85"/>
      <c r="G198" s="80">
        <v>43326</v>
      </c>
      <c r="H198" s="9">
        <v>7405</v>
      </c>
      <c r="I198" s="84">
        <v>155</v>
      </c>
      <c r="J198" s="84">
        <f>+I198*H198-30000</f>
        <v>1117775</v>
      </c>
      <c r="K198" s="87">
        <v>43326</v>
      </c>
      <c r="L198" s="93" t="s">
        <v>818</v>
      </c>
      <c r="M198" s="250"/>
    </row>
    <row r="199" spans="1:13" s="10" customFormat="1" ht="13.5" customHeight="1" x14ac:dyDescent="0.3">
      <c r="A199" s="66" t="s">
        <v>783</v>
      </c>
      <c r="B199" s="1" t="s">
        <v>8</v>
      </c>
      <c r="C199" s="82" t="s">
        <v>15</v>
      </c>
      <c r="D199" s="109" t="s">
        <v>456</v>
      </c>
      <c r="E199" s="86" t="s">
        <v>5</v>
      </c>
      <c r="F199" s="85"/>
      <c r="G199" s="80">
        <v>43326</v>
      </c>
      <c r="H199" s="9">
        <v>5500</v>
      </c>
      <c r="I199" s="84">
        <v>453</v>
      </c>
      <c r="J199" s="84">
        <f>+I199*H199</f>
        <v>2491500</v>
      </c>
      <c r="K199" s="87">
        <v>43326</v>
      </c>
      <c r="L199" s="93"/>
      <c r="M199" s="250"/>
    </row>
    <row r="200" spans="1:13" s="10" customFormat="1" ht="13.5" customHeight="1" x14ac:dyDescent="0.3">
      <c r="A200" s="66" t="s">
        <v>784</v>
      </c>
      <c r="B200" s="1" t="s">
        <v>35</v>
      </c>
      <c r="C200" s="82" t="s">
        <v>15</v>
      </c>
      <c r="D200" s="109" t="s">
        <v>456</v>
      </c>
      <c r="E200" s="86" t="s">
        <v>5</v>
      </c>
      <c r="F200" s="85"/>
      <c r="G200" s="80">
        <v>43326</v>
      </c>
      <c r="H200" s="9">
        <v>660</v>
      </c>
      <c r="I200" s="84">
        <v>633</v>
      </c>
      <c r="J200" s="84">
        <f>+I200*H200</f>
        <v>417780</v>
      </c>
      <c r="K200" s="87">
        <v>43326</v>
      </c>
      <c r="L200" s="93"/>
      <c r="M200" s="250"/>
    </row>
    <row r="201" spans="1:13" s="10" customFormat="1" ht="13.5" customHeight="1" x14ac:dyDescent="0.25">
      <c r="A201" s="66" t="s">
        <v>794</v>
      </c>
      <c r="B201" s="1" t="s">
        <v>795</v>
      </c>
      <c r="C201" s="82" t="s">
        <v>7</v>
      </c>
      <c r="D201" s="109" t="s">
        <v>810</v>
      </c>
      <c r="E201" s="86" t="s">
        <v>5</v>
      </c>
      <c r="F201" s="85"/>
      <c r="G201" s="80">
        <v>43328</v>
      </c>
      <c r="H201" s="9">
        <v>10.677770000000001</v>
      </c>
      <c r="I201" s="84">
        <v>10938.571443288252</v>
      </c>
      <c r="J201" s="84">
        <v>116799.55</v>
      </c>
      <c r="K201" s="87">
        <v>43329</v>
      </c>
      <c r="L201" s="93"/>
      <c r="M201" s="250"/>
    </row>
    <row r="202" spans="1:13" s="10" customFormat="1" ht="13.5" customHeight="1" x14ac:dyDescent="0.3">
      <c r="A202" s="66" t="s">
        <v>801</v>
      </c>
      <c r="B202" s="1" t="s">
        <v>14</v>
      </c>
      <c r="C202" s="82" t="s">
        <v>7</v>
      </c>
      <c r="D202" s="52">
        <v>201810089</v>
      </c>
      <c r="E202" s="86" t="s">
        <v>5</v>
      </c>
      <c r="F202" s="85"/>
      <c r="G202" s="80">
        <v>43328</v>
      </c>
      <c r="H202" s="9">
        <v>425.6</v>
      </c>
      <c r="I202" s="84">
        <v>883</v>
      </c>
      <c r="J202" s="84">
        <v>375804.80000000005</v>
      </c>
      <c r="K202" s="87">
        <v>43332</v>
      </c>
      <c r="L202" s="93"/>
      <c r="M202" s="250"/>
    </row>
    <row r="203" spans="1:13" s="10" customFormat="1" ht="13.5" customHeight="1" x14ac:dyDescent="0.3">
      <c r="A203" s="66" t="s">
        <v>566</v>
      </c>
      <c r="B203" s="1" t="s">
        <v>791</v>
      </c>
      <c r="C203" s="82" t="s">
        <v>15</v>
      </c>
      <c r="D203" s="52" t="s">
        <v>456</v>
      </c>
      <c r="E203" s="86">
        <v>90</v>
      </c>
      <c r="F203" s="85" t="s">
        <v>20</v>
      </c>
      <c r="G203" s="80">
        <v>43333</v>
      </c>
      <c r="H203" s="9">
        <v>4000</v>
      </c>
      <c r="I203" s="84">
        <v>147</v>
      </c>
      <c r="J203" s="84">
        <f>+H203*I203*0.25-50000</f>
        <v>97000</v>
      </c>
      <c r="K203" s="87">
        <v>43333</v>
      </c>
      <c r="L203" s="93" t="s">
        <v>817</v>
      </c>
      <c r="M203" s="250"/>
    </row>
    <row r="204" spans="1:13" s="10" customFormat="1" ht="13.5" customHeight="1" x14ac:dyDescent="0.25">
      <c r="A204" s="66" t="s">
        <v>811</v>
      </c>
      <c r="B204" s="1" t="s">
        <v>449</v>
      </c>
      <c r="C204" s="82" t="s">
        <v>46</v>
      </c>
      <c r="D204" s="52" t="s">
        <v>456</v>
      </c>
      <c r="E204" s="86" t="s">
        <v>5</v>
      </c>
      <c r="F204" s="85"/>
      <c r="G204" s="80">
        <v>43333</v>
      </c>
      <c r="H204" s="9">
        <v>4488</v>
      </c>
      <c r="I204" s="84">
        <v>44.5</v>
      </c>
      <c r="J204" s="84">
        <f>+I204*H204</f>
        <v>199716</v>
      </c>
      <c r="K204" s="87">
        <v>43333</v>
      </c>
      <c r="L204" s="93"/>
      <c r="M204" s="250"/>
    </row>
    <row r="205" spans="1:13" s="10" customFormat="1" ht="13.5" customHeight="1" x14ac:dyDescent="0.25">
      <c r="A205" s="66" t="s">
        <v>767</v>
      </c>
      <c r="B205" s="1" t="s">
        <v>6</v>
      </c>
      <c r="C205" s="82" t="s">
        <v>17</v>
      </c>
      <c r="D205" s="52" t="s">
        <v>824</v>
      </c>
      <c r="E205" s="86" t="s">
        <v>5</v>
      </c>
      <c r="F205" s="85"/>
      <c r="G205" s="80">
        <v>43335</v>
      </c>
      <c r="H205" s="9">
        <v>250</v>
      </c>
      <c r="I205" s="84">
        <v>505</v>
      </c>
      <c r="J205" s="84">
        <f>+I205*H205*0.8</f>
        <v>101000</v>
      </c>
      <c r="K205" s="87">
        <v>43335</v>
      </c>
      <c r="L205" s="93" t="s">
        <v>777</v>
      </c>
      <c r="M205" s="250"/>
    </row>
    <row r="206" spans="1:13" s="10" customFormat="1" ht="13.5" customHeight="1" x14ac:dyDescent="0.25">
      <c r="A206" s="66" t="s">
        <v>808</v>
      </c>
      <c r="B206" s="1" t="s">
        <v>6</v>
      </c>
      <c r="C206" s="82" t="s">
        <v>17</v>
      </c>
      <c r="D206" s="52" t="s">
        <v>825</v>
      </c>
      <c r="E206" s="86" t="s">
        <v>5</v>
      </c>
      <c r="F206" s="85"/>
      <c r="G206" s="80">
        <v>43335</v>
      </c>
      <c r="H206" s="9">
        <v>150</v>
      </c>
      <c r="I206" s="84">
        <v>514</v>
      </c>
      <c r="J206" s="84">
        <f>+I206*H206*0.8-20560</f>
        <v>41120</v>
      </c>
      <c r="K206" s="87">
        <v>43335</v>
      </c>
      <c r="L206" s="93" t="s">
        <v>819</v>
      </c>
      <c r="M206" s="250"/>
    </row>
    <row r="207" spans="1:13" s="10" customFormat="1" ht="13.5" customHeight="1" x14ac:dyDescent="0.25">
      <c r="A207" s="66" t="s">
        <v>809</v>
      </c>
      <c r="B207" s="1" t="s">
        <v>6</v>
      </c>
      <c r="C207" s="82" t="s">
        <v>17</v>
      </c>
      <c r="D207" s="52">
        <v>18080006</v>
      </c>
      <c r="E207" s="86" t="s">
        <v>5</v>
      </c>
      <c r="F207" s="85"/>
      <c r="G207" s="80">
        <v>43335</v>
      </c>
      <c r="H207" s="9">
        <v>325</v>
      </c>
      <c r="I207" s="84">
        <v>514</v>
      </c>
      <c r="J207" s="84">
        <f>+I207*H207*0.8</f>
        <v>133640</v>
      </c>
      <c r="K207" s="87">
        <v>43335</v>
      </c>
      <c r="L207" s="93" t="s">
        <v>777</v>
      </c>
      <c r="M207" s="250"/>
    </row>
    <row r="208" spans="1:13" s="10" customFormat="1" ht="13.5" customHeight="1" x14ac:dyDescent="0.3">
      <c r="A208" s="66" t="s">
        <v>768</v>
      </c>
      <c r="B208" s="1" t="s">
        <v>14</v>
      </c>
      <c r="C208" s="82" t="s">
        <v>7</v>
      </c>
      <c r="D208" s="52"/>
      <c r="E208" s="86" t="s">
        <v>5</v>
      </c>
      <c r="F208" s="85"/>
      <c r="G208" s="80">
        <v>43335</v>
      </c>
      <c r="H208" s="9">
        <v>558.6</v>
      </c>
      <c r="I208" s="84">
        <v>878</v>
      </c>
      <c r="J208" s="84">
        <f>+I208*H208</f>
        <v>490450.80000000005</v>
      </c>
      <c r="K208" s="87">
        <v>43335</v>
      </c>
      <c r="L208" s="93"/>
      <c r="M208" s="250"/>
    </row>
    <row r="209" spans="1:13" s="10" customFormat="1" ht="15" customHeight="1" x14ac:dyDescent="0.3">
      <c r="A209" s="66" t="s">
        <v>803</v>
      </c>
      <c r="B209" s="1" t="s">
        <v>243</v>
      </c>
      <c r="C209" s="82" t="s">
        <v>46</v>
      </c>
      <c r="D209" s="52" t="s">
        <v>456</v>
      </c>
      <c r="E209" s="86" t="s">
        <v>5</v>
      </c>
      <c r="F209" s="85"/>
      <c r="G209" s="80">
        <v>43336</v>
      </c>
      <c r="H209" s="9">
        <v>6672.25</v>
      </c>
      <c r="I209" s="84">
        <v>277.5</v>
      </c>
      <c r="J209" s="554">
        <v>1846626.6</v>
      </c>
      <c r="K209" s="557">
        <v>43336</v>
      </c>
      <c r="M209" s="250"/>
    </row>
    <row r="210" spans="1:13" s="10" customFormat="1" ht="15" customHeight="1" x14ac:dyDescent="0.3">
      <c r="A210" s="66" t="s">
        <v>804</v>
      </c>
      <c r="B210" s="1" t="s">
        <v>33</v>
      </c>
      <c r="C210" s="82" t="s">
        <v>46</v>
      </c>
      <c r="D210" s="52" t="s">
        <v>456</v>
      </c>
      <c r="E210" s="86" t="s">
        <v>5</v>
      </c>
      <c r="F210" s="85"/>
      <c r="G210" s="80">
        <v>43336</v>
      </c>
      <c r="H210" s="9">
        <v>1595.65</v>
      </c>
      <c r="I210" s="84">
        <v>311.5</v>
      </c>
      <c r="J210" s="555"/>
      <c r="K210" s="558"/>
      <c r="M210" s="250"/>
    </row>
    <row r="211" spans="1:13" s="10" customFormat="1" ht="15" customHeight="1" x14ac:dyDescent="0.3">
      <c r="A211" s="66" t="s">
        <v>805</v>
      </c>
      <c r="B211" s="1" t="s">
        <v>32</v>
      </c>
      <c r="C211" s="82" t="s">
        <v>46</v>
      </c>
      <c r="D211" s="52" t="s">
        <v>456</v>
      </c>
      <c r="E211" s="86" t="s">
        <v>5</v>
      </c>
      <c r="F211" s="85"/>
      <c r="G211" s="80">
        <v>43336</v>
      </c>
      <c r="H211" s="9">
        <v>2749.27</v>
      </c>
      <c r="I211" s="84">
        <v>308.5</v>
      </c>
      <c r="J211" s="556"/>
      <c r="K211" s="559"/>
      <c r="M211" s="250"/>
    </row>
    <row r="212" spans="1:13" s="10" customFormat="1" ht="13.5" customHeight="1" x14ac:dyDescent="0.3">
      <c r="A212" s="66" t="s">
        <v>800</v>
      </c>
      <c r="B212" s="1" t="s">
        <v>14</v>
      </c>
      <c r="C212" s="82" t="s">
        <v>7</v>
      </c>
      <c r="D212" s="52" t="s">
        <v>830</v>
      </c>
      <c r="E212" s="86" t="s">
        <v>5</v>
      </c>
      <c r="F212" s="85"/>
      <c r="G212" s="80">
        <v>43340</v>
      </c>
      <c r="H212" s="9">
        <v>106.4</v>
      </c>
      <c r="I212" s="84">
        <v>883</v>
      </c>
      <c r="J212" s="84">
        <f>+I212*H212-1359.82</f>
        <v>92591.38</v>
      </c>
      <c r="K212" s="87">
        <v>43340</v>
      </c>
      <c r="L212" s="93" t="s">
        <v>831</v>
      </c>
      <c r="M212" s="250"/>
    </row>
    <row r="213" spans="1:13" s="10" customFormat="1" ht="15" customHeight="1" x14ac:dyDescent="0.3">
      <c r="A213" s="66" t="s">
        <v>803</v>
      </c>
      <c r="B213" s="1" t="s">
        <v>243</v>
      </c>
      <c r="C213" s="82" t="s">
        <v>46</v>
      </c>
      <c r="D213" s="52" t="s">
        <v>552</v>
      </c>
      <c r="E213" s="86" t="s">
        <v>5</v>
      </c>
      <c r="F213" s="85"/>
      <c r="G213" s="80">
        <v>43341</v>
      </c>
      <c r="H213" s="9">
        <v>6672.25</v>
      </c>
      <c r="I213" s="84">
        <v>277.5</v>
      </c>
      <c r="J213" s="554">
        <v>1350117.55</v>
      </c>
      <c r="K213" s="557">
        <v>43346</v>
      </c>
      <c r="M213" s="250"/>
    </row>
    <row r="214" spans="1:13" s="10" customFormat="1" ht="15" customHeight="1" x14ac:dyDescent="0.3">
      <c r="A214" s="66" t="s">
        <v>804</v>
      </c>
      <c r="B214" s="1" t="s">
        <v>33</v>
      </c>
      <c r="C214" s="82" t="s">
        <v>46</v>
      </c>
      <c r="D214" s="52" t="s">
        <v>552</v>
      </c>
      <c r="E214" s="86" t="s">
        <v>5</v>
      </c>
      <c r="F214" s="85"/>
      <c r="G214" s="80">
        <v>43341</v>
      </c>
      <c r="H214" s="9">
        <v>1595.65</v>
      </c>
      <c r="I214" s="84">
        <v>311.5</v>
      </c>
      <c r="J214" s="555"/>
      <c r="K214" s="558"/>
      <c r="M214" s="250"/>
    </row>
    <row r="215" spans="1:13" s="10" customFormat="1" ht="15" customHeight="1" x14ac:dyDescent="0.3">
      <c r="A215" s="66" t="s">
        <v>805</v>
      </c>
      <c r="B215" s="1" t="s">
        <v>32</v>
      </c>
      <c r="C215" s="82" t="s">
        <v>46</v>
      </c>
      <c r="D215" s="52" t="s">
        <v>552</v>
      </c>
      <c r="E215" s="86" t="s">
        <v>5</v>
      </c>
      <c r="F215" s="85"/>
      <c r="G215" s="80">
        <v>43341</v>
      </c>
      <c r="H215" s="9">
        <v>2749.27</v>
      </c>
      <c r="I215" s="84">
        <v>308.5</v>
      </c>
      <c r="J215" s="556"/>
      <c r="K215" s="559"/>
      <c r="M215" s="250"/>
    </row>
    <row r="216" spans="1:13" s="10" customFormat="1" ht="13.5" customHeight="1" x14ac:dyDescent="0.25">
      <c r="A216" s="66" t="s">
        <v>814</v>
      </c>
      <c r="B216" s="1" t="s">
        <v>33</v>
      </c>
      <c r="C216" s="82" t="s">
        <v>277</v>
      </c>
      <c r="D216" s="52" t="s">
        <v>552</v>
      </c>
      <c r="E216" s="86" t="s">
        <v>5</v>
      </c>
      <c r="F216" s="85"/>
      <c r="G216" s="80">
        <v>43350</v>
      </c>
      <c r="H216" s="9">
        <v>2905.65</v>
      </c>
      <c r="I216" s="84">
        <v>305.5</v>
      </c>
      <c r="J216" s="84">
        <f>+I216*H216</f>
        <v>887676.07500000007</v>
      </c>
      <c r="K216" s="87">
        <v>43353</v>
      </c>
      <c r="L216" s="93"/>
      <c r="M216" s="250"/>
    </row>
    <row r="217" spans="1:13" s="10" customFormat="1" ht="13.5" customHeight="1" x14ac:dyDescent="0.25">
      <c r="A217" s="66" t="s">
        <v>815</v>
      </c>
      <c r="B217" s="1" t="s">
        <v>32</v>
      </c>
      <c r="C217" s="82" t="s">
        <v>277</v>
      </c>
      <c r="D217" s="52" t="s">
        <v>552</v>
      </c>
      <c r="E217" s="86" t="s">
        <v>5</v>
      </c>
      <c r="F217" s="85"/>
      <c r="G217" s="80">
        <v>43350</v>
      </c>
      <c r="H217" s="9">
        <v>6835</v>
      </c>
      <c r="I217" s="84">
        <v>295.5</v>
      </c>
      <c r="J217" s="84">
        <f>+I217*H217</f>
        <v>2019742.5</v>
      </c>
      <c r="K217" s="87">
        <v>43353</v>
      </c>
      <c r="L217" s="93"/>
      <c r="M217" s="250"/>
    </row>
    <row r="218" spans="1:13" s="10" customFormat="1" ht="13.5" customHeight="1" x14ac:dyDescent="0.25">
      <c r="A218" s="66" t="s">
        <v>813</v>
      </c>
      <c r="B218" s="1" t="s">
        <v>11</v>
      </c>
      <c r="C218" s="82" t="s">
        <v>816</v>
      </c>
      <c r="D218" s="52" t="s">
        <v>874</v>
      </c>
      <c r="E218" s="86" t="s">
        <v>5</v>
      </c>
      <c r="F218" s="85"/>
      <c r="G218" s="80">
        <v>43370</v>
      </c>
      <c r="H218" s="9">
        <v>113.6</v>
      </c>
      <c r="I218" s="84">
        <v>300</v>
      </c>
      <c r="J218" s="84">
        <f>+I218*H218</f>
        <v>34080</v>
      </c>
      <c r="K218" s="87">
        <v>43363</v>
      </c>
      <c r="L218" s="93"/>
      <c r="M218" s="250"/>
    </row>
    <row r="219" spans="1:13" s="10" customFormat="1" ht="13.5" customHeight="1" x14ac:dyDescent="0.25">
      <c r="A219" s="66" t="s">
        <v>871</v>
      </c>
      <c r="B219" s="1" t="s">
        <v>6</v>
      </c>
      <c r="C219" s="82" t="s">
        <v>17</v>
      </c>
      <c r="D219" s="52"/>
      <c r="E219" s="86" t="s">
        <v>5</v>
      </c>
      <c r="F219" s="85"/>
      <c r="G219" s="80">
        <v>43367</v>
      </c>
      <c r="H219" s="9">
        <v>275</v>
      </c>
      <c r="I219" s="84">
        <v>505</v>
      </c>
      <c r="J219" s="84">
        <f>+I219*H219*0.8</f>
        <v>111100</v>
      </c>
      <c r="K219" s="87">
        <v>43367</v>
      </c>
      <c r="L219" s="93" t="s">
        <v>777</v>
      </c>
      <c r="M219" s="250"/>
    </row>
    <row r="220" spans="1:13" s="10" customFormat="1" ht="13.5" customHeight="1" x14ac:dyDescent="0.25">
      <c r="A220" s="66" t="s">
        <v>848</v>
      </c>
      <c r="B220" s="1" t="s">
        <v>56</v>
      </c>
      <c r="C220" s="82" t="s">
        <v>50</v>
      </c>
      <c r="D220" s="52" t="s">
        <v>867</v>
      </c>
      <c r="E220" s="86" t="s">
        <v>158</v>
      </c>
      <c r="F220" s="85"/>
      <c r="G220" s="80">
        <v>43368</v>
      </c>
      <c r="H220" s="9">
        <v>85</v>
      </c>
      <c r="I220" s="84">
        <v>331</v>
      </c>
      <c r="J220" s="84">
        <v>28135</v>
      </c>
      <c r="K220" s="87">
        <v>43368</v>
      </c>
      <c r="L220" s="93"/>
      <c r="M220" s="250"/>
    </row>
    <row r="221" spans="1:13" s="10" customFormat="1" ht="13.5" customHeight="1" x14ac:dyDescent="0.25">
      <c r="A221" s="66" t="s">
        <v>849</v>
      </c>
      <c r="B221" s="1" t="s">
        <v>56</v>
      </c>
      <c r="C221" s="82" t="s">
        <v>50</v>
      </c>
      <c r="D221" s="52" t="s">
        <v>868</v>
      </c>
      <c r="E221" s="86" t="s">
        <v>158</v>
      </c>
      <c r="F221" s="85"/>
      <c r="G221" s="80">
        <v>43368</v>
      </c>
      <c r="H221" s="9">
        <v>83</v>
      </c>
      <c r="I221" s="84">
        <v>331</v>
      </c>
      <c r="J221" s="84">
        <v>27473</v>
      </c>
      <c r="K221" s="87">
        <v>43368</v>
      </c>
      <c r="L221" s="93"/>
      <c r="M221" s="250"/>
    </row>
    <row r="222" spans="1:13" s="10" customFormat="1" ht="13.5" customHeight="1" x14ac:dyDescent="0.25">
      <c r="A222" s="66" t="s">
        <v>851</v>
      </c>
      <c r="B222" s="1" t="s">
        <v>56</v>
      </c>
      <c r="C222" s="82" t="s">
        <v>50</v>
      </c>
      <c r="D222" s="52" t="s">
        <v>869</v>
      </c>
      <c r="E222" s="86" t="s">
        <v>158</v>
      </c>
      <c r="F222" s="85"/>
      <c r="G222" s="80">
        <v>43368</v>
      </c>
      <c r="H222" s="9">
        <v>192</v>
      </c>
      <c r="I222" s="84">
        <v>377</v>
      </c>
      <c r="J222" s="84">
        <v>72384</v>
      </c>
      <c r="K222" s="87">
        <v>43368</v>
      </c>
      <c r="L222" s="93"/>
      <c r="M222" s="250"/>
    </row>
    <row r="223" spans="1:13" s="10" customFormat="1" ht="13.5" customHeight="1" x14ac:dyDescent="0.25">
      <c r="A223" s="66" t="s">
        <v>852</v>
      </c>
      <c r="B223" s="1" t="s">
        <v>56</v>
      </c>
      <c r="C223" s="82" t="s">
        <v>50</v>
      </c>
      <c r="D223" s="52" t="s">
        <v>870</v>
      </c>
      <c r="E223" s="86" t="s">
        <v>158</v>
      </c>
      <c r="F223" s="85"/>
      <c r="G223" s="80">
        <v>43368</v>
      </c>
      <c r="H223" s="9">
        <v>192</v>
      </c>
      <c r="I223" s="84">
        <v>387</v>
      </c>
      <c r="J223" s="84">
        <v>74304</v>
      </c>
      <c r="K223" s="87">
        <v>43368</v>
      </c>
      <c r="L223" s="93"/>
      <c r="M223" s="250"/>
    </row>
    <row r="224" spans="1:13" s="10" customFormat="1" ht="13.5" customHeight="1" x14ac:dyDescent="0.25">
      <c r="A224" s="66" t="s">
        <v>787</v>
      </c>
      <c r="B224" s="1" t="s">
        <v>790</v>
      </c>
      <c r="C224" s="82" t="s">
        <v>15</v>
      </c>
      <c r="D224" s="52" t="s">
        <v>873</v>
      </c>
      <c r="E224" s="86" t="s">
        <v>5</v>
      </c>
      <c r="F224" s="85"/>
      <c r="G224" s="80">
        <f>+K224+4</f>
        <v>43374</v>
      </c>
      <c r="H224" s="9">
        <v>56</v>
      </c>
      <c r="I224" s="84">
        <v>375</v>
      </c>
      <c r="J224" s="84">
        <f>+I224*H224</f>
        <v>21000</v>
      </c>
      <c r="K224" s="87">
        <v>43370</v>
      </c>
      <c r="L224" s="93"/>
      <c r="M224" s="250"/>
    </row>
    <row r="225" spans="1:13" s="10" customFormat="1" ht="13.5" customHeight="1" x14ac:dyDescent="0.25">
      <c r="A225" s="66" t="s">
        <v>872</v>
      </c>
      <c r="B225" s="1" t="s">
        <v>6</v>
      </c>
      <c r="C225" s="82" t="s">
        <v>17</v>
      </c>
      <c r="D225" s="52" t="s">
        <v>875</v>
      </c>
      <c r="E225" s="86" t="s">
        <v>5</v>
      </c>
      <c r="F225" s="85"/>
      <c r="G225" s="80">
        <v>43370</v>
      </c>
      <c r="H225" s="9">
        <v>100</v>
      </c>
      <c r="I225" s="84">
        <v>505</v>
      </c>
      <c r="J225" s="84">
        <f>+I225*H225*0.8+20650-675</f>
        <v>60375</v>
      </c>
      <c r="K225" s="87">
        <v>43371</v>
      </c>
      <c r="L225" s="93" t="s">
        <v>876</v>
      </c>
      <c r="M225" s="250"/>
    </row>
    <row r="226" spans="1:13" s="10" customFormat="1" ht="13.5" customHeight="1" x14ac:dyDescent="0.25">
      <c r="A226" s="66" t="s">
        <v>859</v>
      </c>
      <c r="B226" s="1" t="s">
        <v>28</v>
      </c>
      <c r="C226" s="82" t="s">
        <v>17</v>
      </c>
      <c r="D226" s="52"/>
      <c r="E226" s="86" t="s">
        <v>5</v>
      </c>
      <c r="F226" s="85"/>
      <c r="G226" s="80">
        <v>43376</v>
      </c>
      <c r="H226" s="9">
        <v>504</v>
      </c>
      <c r="I226" s="84">
        <v>260</v>
      </c>
      <c r="J226" s="84">
        <f>+I226*H226*0.2</f>
        <v>26208</v>
      </c>
      <c r="K226" s="87">
        <v>43376</v>
      </c>
      <c r="L226" s="93" t="s">
        <v>774</v>
      </c>
      <c r="M226" s="250"/>
    </row>
    <row r="227" spans="1:13" s="10" customFormat="1" ht="13.5" customHeight="1" x14ac:dyDescent="0.25">
      <c r="A227" s="66" t="s">
        <v>860</v>
      </c>
      <c r="B227" s="1" t="s">
        <v>28</v>
      </c>
      <c r="C227" s="82" t="s">
        <v>17</v>
      </c>
      <c r="D227" s="52"/>
      <c r="E227" s="86" t="s">
        <v>5</v>
      </c>
      <c r="F227" s="85"/>
      <c r="G227" s="80">
        <v>43376</v>
      </c>
      <c r="H227" s="9">
        <v>504</v>
      </c>
      <c r="I227" s="84">
        <v>260</v>
      </c>
      <c r="J227" s="84">
        <f>+I227*H227*0.2</f>
        <v>26208</v>
      </c>
      <c r="K227" s="87">
        <v>43376</v>
      </c>
      <c r="L227" s="93" t="s">
        <v>774</v>
      </c>
      <c r="M227" s="250"/>
    </row>
    <row r="228" spans="1:13" s="146" customFormat="1" ht="13.5" customHeight="1" x14ac:dyDescent="0.3">
      <c r="A228" s="66" t="s">
        <v>723</v>
      </c>
      <c r="B228" s="151" t="s">
        <v>359</v>
      </c>
      <c r="C228" s="82" t="s">
        <v>41</v>
      </c>
      <c r="D228" s="147" t="s">
        <v>832</v>
      </c>
      <c r="E228" s="86">
        <v>120</v>
      </c>
      <c r="F228" s="149" t="s">
        <v>20</v>
      </c>
      <c r="G228" s="150">
        <v>43382</v>
      </c>
      <c r="H228" s="152">
        <v>144</v>
      </c>
      <c r="I228" s="84">
        <v>800</v>
      </c>
      <c r="J228" s="84">
        <f>+I228*H228</f>
        <v>115200</v>
      </c>
      <c r="K228" s="148">
        <v>43383</v>
      </c>
      <c r="L228" s="93"/>
      <c r="M228" s="250"/>
    </row>
    <row r="229" spans="1:13" s="146" customFormat="1" ht="13.5" customHeight="1" x14ac:dyDescent="0.3">
      <c r="A229" s="66" t="s">
        <v>839</v>
      </c>
      <c r="B229" s="151" t="s">
        <v>841</v>
      </c>
      <c r="C229" s="82" t="s">
        <v>494</v>
      </c>
      <c r="D229" s="147"/>
      <c r="E229" s="86" t="s">
        <v>5</v>
      </c>
      <c r="F229" s="149"/>
      <c r="G229" s="150">
        <v>43384</v>
      </c>
      <c r="H229" s="152">
        <v>1000.5</v>
      </c>
      <c r="I229" s="84">
        <v>362</v>
      </c>
      <c r="J229" s="84">
        <f>+I229*H229</f>
        <v>362181</v>
      </c>
      <c r="K229" s="148">
        <v>43384</v>
      </c>
      <c r="L229" s="93"/>
      <c r="M229" s="250"/>
    </row>
    <row r="230" spans="1:13" s="146" customFormat="1" ht="13.5" customHeight="1" x14ac:dyDescent="0.3">
      <c r="A230" s="66" t="s">
        <v>881</v>
      </c>
      <c r="B230" s="151" t="s">
        <v>8</v>
      </c>
      <c r="C230" s="82" t="s">
        <v>494</v>
      </c>
      <c r="D230" s="147"/>
      <c r="E230" s="86" t="s">
        <v>5</v>
      </c>
      <c r="F230" s="149"/>
      <c r="G230" s="150">
        <v>43391</v>
      </c>
      <c r="H230" s="152">
        <v>2420</v>
      </c>
      <c r="I230" s="84">
        <v>460</v>
      </c>
      <c r="J230" s="84">
        <f>+I230*H230</f>
        <v>1113200</v>
      </c>
      <c r="K230" s="148">
        <v>43391</v>
      </c>
      <c r="L230" s="93"/>
      <c r="M230" s="250"/>
    </row>
    <row r="231" spans="1:13" s="146" customFormat="1" ht="13.5" customHeight="1" x14ac:dyDescent="0.3">
      <c r="A231" s="66" t="s">
        <v>724</v>
      </c>
      <c r="B231" s="151" t="s">
        <v>359</v>
      </c>
      <c r="C231" s="82" t="s">
        <v>41</v>
      </c>
      <c r="D231" s="147" t="s">
        <v>833</v>
      </c>
      <c r="E231" s="86">
        <v>120</v>
      </c>
      <c r="F231" s="149" t="s">
        <v>20</v>
      </c>
      <c r="G231" s="150">
        <v>43392</v>
      </c>
      <c r="H231" s="152">
        <v>144</v>
      </c>
      <c r="I231" s="84">
        <v>805</v>
      </c>
      <c r="J231" s="84">
        <f>+I231*H231-183</f>
        <v>115737</v>
      </c>
      <c r="K231" s="148">
        <v>43392</v>
      </c>
      <c r="L231" s="93" t="s">
        <v>884</v>
      </c>
      <c r="M231" s="250"/>
    </row>
    <row r="232" spans="1:13" s="146" customFormat="1" ht="13.5" customHeight="1" x14ac:dyDescent="0.25">
      <c r="A232" s="66" t="s">
        <v>861</v>
      </c>
      <c r="B232" s="151" t="s">
        <v>864</v>
      </c>
      <c r="C232" s="82" t="s">
        <v>865</v>
      </c>
      <c r="D232" s="147"/>
      <c r="E232" s="86" t="s">
        <v>5</v>
      </c>
      <c r="F232" s="149"/>
      <c r="G232" s="150">
        <v>43392</v>
      </c>
      <c r="H232" s="152">
        <v>1</v>
      </c>
      <c r="I232" s="84">
        <v>65945</v>
      </c>
      <c r="J232" s="84">
        <f>+I232*H232</f>
        <v>65945</v>
      </c>
      <c r="K232" s="148">
        <v>43395</v>
      </c>
      <c r="L232" s="93" t="s">
        <v>866</v>
      </c>
      <c r="M232" s="250"/>
    </row>
    <row r="233" spans="1:13" s="146" customFormat="1" ht="13.5" customHeight="1" x14ac:dyDescent="0.25">
      <c r="A233" s="66" t="s">
        <v>862</v>
      </c>
      <c r="B233" s="151" t="s">
        <v>864</v>
      </c>
      <c r="C233" s="82" t="s">
        <v>865</v>
      </c>
      <c r="D233" s="147"/>
      <c r="E233" s="86" t="s">
        <v>5</v>
      </c>
      <c r="F233" s="149"/>
      <c r="G233" s="150">
        <v>43392</v>
      </c>
      <c r="H233" s="152">
        <v>1</v>
      </c>
      <c r="I233" s="84">
        <v>65195</v>
      </c>
      <c r="J233" s="84">
        <f>+I233*H233</f>
        <v>65195</v>
      </c>
      <c r="K233" s="148">
        <v>43395</v>
      </c>
      <c r="L233" s="93" t="s">
        <v>866</v>
      </c>
      <c r="M233" s="250"/>
    </row>
    <row r="234" spans="1:13" s="146" customFormat="1" ht="13.5" customHeight="1" x14ac:dyDescent="0.3">
      <c r="A234" s="66" t="s">
        <v>769</v>
      </c>
      <c r="B234" s="151" t="s">
        <v>10</v>
      </c>
      <c r="C234" s="82" t="s">
        <v>7</v>
      </c>
      <c r="D234" s="147" t="s">
        <v>886</v>
      </c>
      <c r="E234" s="86">
        <v>90</v>
      </c>
      <c r="F234" s="149" t="s">
        <v>20</v>
      </c>
      <c r="G234" s="150">
        <v>43396</v>
      </c>
      <c r="H234" s="152">
        <v>448</v>
      </c>
      <c r="I234" s="84">
        <v>266</v>
      </c>
      <c r="J234" s="84">
        <f>+I234*H234+833-1993.85</f>
        <v>118007.15</v>
      </c>
      <c r="K234" s="148">
        <v>43396</v>
      </c>
      <c r="L234" s="93" t="s">
        <v>844</v>
      </c>
      <c r="M234" s="250"/>
    </row>
    <row r="235" spans="1:13" s="146" customFormat="1" ht="13.5" customHeight="1" x14ac:dyDescent="0.3">
      <c r="A235" s="66" t="s">
        <v>770</v>
      </c>
      <c r="B235" s="151" t="s">
        <v>10</v>
      </c>
      <c r="C235" s="82" t="s">
        <v>7</v>
      </c>
      <c r="D235" s="147" t="s">
        <v>834</v>
      </c>
      <c r="E235" s="86">
        <v>90</v>
      </c>
      <c r="F235" s="149" t="s">
        <v>20</v>
      </c>
      <c r="G235" s="150">
        <v>43396</v>
      </c>
      <c r="H235" s="152">
        <v>1092</v>
      </c>
      <c r="I235" s="84">
        <v>271</v>
      </c>
      <c r="J235" s="84">
        <f t="shared" ref="J235:J243" si="1">+I235*H235</f>
        <v>295932</v>
      </c>
      <c r="K235" s="148">
        <v>43396</v>
      </c>
      <c r="L235" s="93"/>
      <c r="M235" s="250"/>
    </row>
    <row r="236" spans="1:13" s="146" customFormat="1" ht="13.5" customHeight="1" x14ac:dyDescent="0.25">
      <c r="A236" s="66" t="s">
        <v>880</v>
      </c>
      <c r="B236" s="151" t="s">
        <v>243</v>
      </c>
      <c r="C236" s="82" t="s">
        <v>46</v>
      </c>
      <c r="D236" s="147"/>
      <c r="E236" s="86" t="s">
        <v>5</v>
      </c>
      <c r="F236" s="149"/>
      <c r="G236" s="150">
        <v>43396</v>
      </c>
      <c r="H236" s="152">
        <v>2700</v>
      </c>
      <c r="I236" s="84">
        <v>287</v>
      </c>
      <c r="J236" s="84">
        <f t="shared" si="1"/>
        <v>774900</v>
      </c>
      <c r="K236" s="148">
        <v>43396</v>
      </c>
      <c r="L236" s="93"/>
      <c r="M236" s="250"/>
    </row>
    <row r="237" spans="1:13" s="146" customFormat="1" ht="13.5" customHeight="1" x14ac:dyDescent="0.3">
      <c r="A237" s="66" t="s">
        <v>745</v>
      </c>
      <c r="B237" s="151" t="s">
        <v>750</v>
      </c>
      <c r="C237" s="82" t="s">
        <v>753</v>
      </c>
      <c r="D237" s="147">
        <v>50433359</v>
      </c>
      <c r="E237" s="86">
        <v>30</v>
      </c>
      <c r="F237" s="149" t="s">
        <v>20</v>
      </c>
      <c r="G237" s="150">
        <v>43398</v>
      </c>
      <c r="H237" s="152">
        <v>0.18</v>
      </c>
      <c r="I237" s="84">
        <v>12970</v>
      </c>
      <c r="J237" s="84">
        <f t="shared" si="1"/>
        <v>2334.6</v>
      </c>
      <c r="K237" s="148">
        <v>43398</v>
      </c>
      <c r="L237" s="93"/>
      <c r="M237" s="250"/>
    </row>
    <row r="238" spans="1:13" s="146" customFormat="1" ht="13.5" customHeight="1" x14ac:dyDescent="0.3">
      <c r="A238" s="66" t="s">
        <v>746</v>
      </c>
      <c r="B238" s="151" t="s">
        <v>751</v>
      </c>
      <c r="C238" s="82" t="s">
        <v>753</v>
      </c>
      <c r="D238" s="147">
        <v>50433359</v>
      </c>
      <c r="E238" s="86">
        <v>30</v>
      </c>
      <c r="F238" s="149" t="s">
        <v>20</v>
      </c>
      <c r="G238" s="150">
        <v>43398</v>
      </c>
      <c r="H238" s="152">
        <v>0.24</v>
      </c>
      <c r="I238" s="84">
        <v>5370</v>
      </c>
      <c r="J238" s="84">
        <f t="shared" si="1"/>
        <v>1288.8</v>
      </c>
      <c r="K238" s="148">
        <v>43398</v>
      </c>
      <c r="L238" s="93"/>
      <c r="M238" s="250"/>
    </row>
    <row r="239" spans="1:13" s="146" customFormat="1" ht="13.5" customHeight="1" x14ac:dyDescent="0.3">
      <c r="A239" s="66" t="s">
        <v>747</v>
      </c>
      <c r="B239" s="151" t="s">
        <v>752</v>
      </c>
      <c r="C239" s="82" t="s">
        <v>753</v>
      </c>
      <c r="D239" s="147">
        <v>50433359</v>
      </c>
      <c r="E239" s="86">
        <v>30</v>
      </c>
      <c r="F239" s="149" t="s">
        <v>20</v>
      </c>
      <c r="G239" s="150">
        <v>43398</v>
      </c>
      <c r="H239" s="152">
        <v>0.3</v>
      </c>
      <c r="I239" s="84">
        <v>5370</v>
      </c>
      <c r="J239" s="84">
        <f t="shared" si="1"/>
        <v>1611</v>
      </c>
      <c r="K239" s="148">
        <v>43398</v>
      </c>
      <c r="L239" s="93"/>
      <c r="M239" s="250"/>
    </row>
    <row r="240" spans="1:13" s="146" customFormat="1" ht="13.5" customHeight="1" x14ac:dyDescent="0.3">
      <c r="A240" s="66" t="s">
        <v>779</v>
      </c>
      <c r="B240" s="151" t="s">
        <v>751</v>
      </c>
      <c r="C240" s="82" t="s">
        <v>753</v>
      </c>
      <c r="D240" s="147"/>
      <c r="E240" s="86">
        <v>30</v>
      </c>
      <c r="F240" s="149" t="s">
        <v>20</v>
      </c>
      <c r="G240" s="150">
        <v>43403</v>
      </c>
      <c r="H240" s="152">
        <v>3.82</v>
      </c>
      <c r="I240" s="84">
        <v>12970</v>
      </c>
      <c r="J240" s="84">
        <f t="shared" si="1"/>
        <v>49545.4</v>
      </c>
      <c r="K240" s="148">
        <v>43404</v>
      </c>
      <c r="L240" s="93"/>
      <c r="M240" s="250"/>
    </row>
    <row r="241" spans="1:13" s="146" customFormat="1" ht="13.5" customHeight="1" x14ac:dyDescent="0.3">
      <c r="A241" s="66" t="s">
        <v>780</v>
      </c>
      <c r="B241" s="151" t="s">
        <v>750</v>
      </c>
      <c r="C241" s="82" t="s">
        <v>753</v>
      </c>
      <c r="D241" s="147"/>
      <c r="E241" s="86">
        <v>30</v>
      </c>
      <c r="F241" s="149" t="s">
        <v>20</v>
      </c>
      <c r="G241" s="150">
        <v>43403</v>
      </c>
      <c r="H241" s="152">
        <v>1.86</v>
      </c>
      <c r="I241" s="84">
        <v>5370</v>
      </c>
      <c r="J241" s="84">
        <f t="shared" si="1"/>
        <v>9988.2000000000007</v>
      </c>
      <c r="K241" s="148">
        <v>43404</v>
      </c>
      <c r="L241" s="93"/>
      <c r="M241" s="250"/>
    </row>
    <row r="242" spans="1:13" s="146" customFormat="1" ht="13.5" customHeight="1" x14ac:dyDescent="0.3">
      <c r="A242" s="66" t="s">
        <v>885</v>
      </c>
      <c r="B242" s="151" t="s">
        <v>752</v>
      </c>
      <c r="C242" s="82" t="s">
        <v>753</v>
      </c>
      <c r="D242" s="147"/>
      <c r="E242" s="86">
        <v>30</v>
      </c>
      <c r="F242" s="149" t="s">
        <v>20</v>
      </c>
      <c r="G242" s="150">
        <v>43403</v>
      </c>
      <c r="H242" s="152">
        <v>2.1</v>
      </c>
      <c r="I242" s="84">
        <v>5370</v>
      </c>
      <c r="J242" s="84">
        <f t="shared" si="1"/>
        <v>11277</v>
      </c>
      <c r="K242" s="148">
        <v>43404</v>
      </c>
      <c r="L242" s="93"/>
      <c r="M242" s="250"/>
    </row>
    <row r="243" spans="1:13" s="146" customFormat="1" ht="13.5" customHeight="1" x14ac:dyDescent="0.3">
      <c r="A243" s="66" t="s">
        <v>812</v>
      </c>
      <c r="B243" s="151" t="s">
        <v>789</v>
      </c>
      <c r="C243" s="82" t="s">
        <v>280</v>
      </c>
      <c r="D243" s="147" t="s">
        <v>835</v>
      </c>
      <c r="E243" s="86">
        <v>60</v>
      </c>
      <c r="F243" s="149" t="s">
        <v>20</v>
      </c>
      <c r="G243" s="150">
        <v>43406</v>
      </c>
      <c r="H243" s="152">
        <v>399</v>
      </c>
      <c r="I243" s="84">
        <v>150.6</v>
      </c>
      <c r="J243" s="84">
        <f t="shared" si="1"/>
        <v>60089.399999999994</v>
      </c>
      <c r="K243" s="148">
        <v>43409</v>
      </c>
      <c r="L243" s="93"/>
      <c r="M243" s="250"/>
    </row>
    <row r="244" spans="1:13" s="146" customFormat="1" ht="15" customHeight="1" x14ac:dyDescent="0.3">
      <c r="A244" s="66" t="s">
        <v>845</v>
      </c>
      <c r="B244" s="151" t="s">
        <v>790</v>
      </c>
      <c r="C244" s="82" t="s">
        <v>277</v>
      </c>
      <c r="D244" s="147"/>
      <c r="E244" s="86" t="s">
        <v>5</v>
      </c>
      <c r="F244" s="149"/>
      <c r="G244" s="150">
        <v>43410</v>
      </c>
      <c r="H244" s="152">
        <v>174</v>
      </c>
      <c r="I244" s="84">
        <v>360</v>
      </c>
      <c r="J244" s="84">
        <v>62640</v>
      </c>
      <c r="K244" s="148">
        <v>43410</v>
      </c>
      <c r="L244" s="93" t="s">
        <v>882</v>
      </c>
      <c r="M244" s="250"/>
    </row>
    <row r="245" spans="1:13" s="146" customFormat="1" ht="13.5" customHeight="1" x14ac:dyDescent="0.25">
      <c r="A245" s="66" t="s">
        <v>899</v>
      </c>
      <c r="B245" s="151" t="s">
        <v>448</v>
      </c>
      <c r="C245" s="82" t="s">
        <v>512</v>
      </c>
      <c r="D245" s="147" t="s">
        <v>908</v>
      </c>
      <c r="E245" s="86" t="s">
        <v>158</v>
      </c>
      <c r="F245" s="149"/>
      <c r="G245" s="150">
        <v>43412</v>
      </c>
      <c r="H245" s="153">
        <v>2000</v>
      </c>
      <c r="I245" s="84">
        <v>295</v>
      </c>
      <c r="J245" s="84">
        <f>+I245*H245</f>
        <v>590000</v>
      </c>
      <c r="K245" s="148">
        <v>43412</v>
      </c>
      <c r="L245" s="93" t="s">
        <v>907</v>
      </c>
      <c r="M245" s="250"/>
    </row>
    <row r="246" spans="1:13" s="146" customFormat="1" ht="13.5" customHeight="1" x14ac:dyDescent="0.3">
      <c r="A246" s="66" t="s">
        <v>785</v>
      </c>
      <c r="B246" s="151" t="s">
        <v>789</v>
      </c>
      <c r="C246" s="82" t="s">
        <v>47</v>
      </c>
      <c r="D246" s="147" t="s">
        <v>855</v>
      </c>
      <c r="E246" s="86">
        <v>90</v>
      </c>
      <c r="F246" s="149" t="s">
        <v>20</v>
      </c>
      <c r="G246" s="150">
        <v>43419</v>
      </c>
      <c r="H246" s="152">
        <v>900</v>
      </c>
      <c r="I246" s="84">
        <v>136</v>
      </c>
      <c r="J246" s="84">
        <f>+I246*H246</f>
        <v>122400</v>
      </c>
      <c r="K246" s="148">
        <v>43419</v>
      </c>
      <c r="L246" s="93"/>
      <c r="M246" s="250"/>
    </row>
    <row r="247" spans="1:13" s="146" customFormat="1" ht="13.5" customHeight="1" x14ac:dyDescent="0.3">
      <c r="A247" s="66" t="s">
        <v>786</v>
      </c>
      <c r="B247" s="151" t="s">
        <v>35</v>
      </c>
      <c r="C247" s="82" t="s">
        <v>47</v>
      </c>
      <c r="D247" s="147" t="s">
        <v>856</v>
      </c>
      <c r="E247" s="86">
        <v>90</v>
      </c>
      <c r="F247" s="149" t="s">
        <v>20</v>
      </c>
      <c r="G247" s="150">
        <v>43419</v>
      </c>
      <c r="H247" s="152">
        <v>400</v>
      </c>
      <c r="I247" s="84">
        <v>631</v>
      </c>
      <c r="J247" s="84">
        <f>+I247*H247</f>
        <v>252400</v>
      </c>
      <c r="K247" s="148">
        <v>43419</v>
      </c>
      <c r="L247" s="93"/>
      <c r="M247" s="250"/>
    </row>
    <row r="248" spans="1:13" s="146" customFormat="1" ht="13.5" customHeight="1" x14ac:dyDescent="0.25">
      <c r="A248" s="66" t="s">
        <v>859</v>
      </c>
      <c r="B248" s="151" t="s">
        <v>28</v>
      </c>
      <c r="C248" s="82" t="s">
        <v>17</v>
      </c>
      <c r="D248" s="147"/>
      <c r="E248" s="86" t="s">
        <v>5</v>
      </c>
      <c r="F248" s="149"/>
      <c r="G248" s="150">
        <v>43420</v>
      </c>
      <c r="H248" s="152">
        <v>504</v>
      </c>
      <c r="I248" s="84">
        <v>260</v>
      </c>
      <c r="J248" s="84">
        <f>+I248*H248*0.8</f>
        <v>104832</v>
      </c>
      <c r="K248" s="148">
        <v>43419</v>
      </c>
      <c r="L248" s="93" t="s">
        <v>777</v>
      </c>
      <c r="M248" s="250"/>
    </row>
    <row r="249" spans="1:13" s="146" customFormat="1" ht="13.5" customHeight="1" x14ac:dyDescent="0.25">
      <c r="A249" s="66" t="s">
        <v>898</v>
      </c>
      <c r="B249" s="151" t="s">
        <v>33</v>
      </c>
      <c r="C249" s="82" t="s">
        <v>15</v>
      </c>
      <c r="D249" s="147"/>
      <c r="E249" s="86" t="s">
        <v>5</v>
      </c>
      <c r="F249" s="149"/>
      <c r="G249" s="150">
        <v>43424</v>
      </c>
      <c r="H249" s="152">
        <v>1200</v>
      </c>
      <c r="I249" s="84">
        <v>360</v>
      </c>
      <c r="J249" s="84">
        <v>432000</v>
      </c>
      <c r="K249" s="148">
        <v>43425</v>
      </c>
      <c r="L249" s="93" t="s">
        <v>906</v>
      </c>
      <c r="M249" s="250"/>
    </row>
    <row r="250" spans="1:13" s="146" customFormat="1" ht="13.5" customHeight="1" x14ac:dyDescent="0.25">
      <c r="A250" s="66" t="s">
        <v>917</v>
      </c>
      <c r="B250" s="151" t="s">
        <v>56</v>
      </c>
      <c r="C250" s="82" t="s">
        <v>50</v>
      </c>
      <c r="D250" s="147" t="s">
        <v>923</v>
      </c>
      <c r="E250" s="86" t="s">
        <v>158</v>
      </c>
      <c r="F250" s="149"/>
      <c r="G250" s="150">
        <v>43424</v>
      </c>
      <c r="H250" s="152">
        <v>240</v>
      </c>
      <c r="I250" s="84">
        <v>377</v>
      </c>
      <c r="J250" s="84">
        <v>90480</v>
      </c>
      <c r="K250" s="148">
        <v>43425</v>
      </c>
      <c r="L250" s="93"/>
      <c r="M250" s="250"/>
    </row>
    <row r="251" spans="1:13" s="146" customFormat="1" ht="13.5" customHeight="1" x14ac:dyDescent="0.25">
      <c r="A251" s="66" t="s">
        <v>918</v>
      </c>
      <c r="B251" s="151" t="s">
        <v>56</v>
      </c>
      <c r="C251" s="82" t="s">
        <v>50</v>
      </c>
      <c r="D251" s="147" t="s">
        <v>924</v>
      </c>
      <c r="E251" s="86" t="s">
        <v>158</v>
      </c>
      <c r="F251" s="149"/>
      <c r="G251" s="150">
        <v>43424</v>
      </c>
      <c r="H251" s="152">
        <v>264</v>
      </c>
      <c r="I251" s="84">
        <v>387</v>
      </c>
      <c r="J251" s="84">
        <v>102168</v>
      </c>
      <c r="K251" s="148">
        <v>43425</v>
      </c>
      <c r="L251" s="93"/>
      <c r="M251" s="250"/>
    </row>
    <row r="252" spans="1:13" s="146" customFormat="1" ht="13.5" customHeight="1" x14ac:dyDescent="0.25">
      <c r="A252" s="66" t="s">
        <v>899</v>
      </c>
      <c r="B252" s="151" t="s">
        <v>448</v>
      </c>
      <c r="C252" s="82" t="s">
        <v>512</v>
      </c>
      <c r="D252" s="147" t="s">
        <v>908</v>
      </c>
      <c r="E252" s="86" t="s">
        <v>158</v>
      </c>
      <c r="F252" s="149"/>
      <c r="G252" s="150">
        <v>43426</v>
      </c>
      <c r="H252" s="153">
        <v>200</v>
      </c>
      <c r="I252" s="84">
        <v>295</v>
      </c>
      <c r="J252" s="84">
        <f t="shared" ref="J252:J259" si="2">+I252*H252</f>
        <v>59000</v>
      </c>
      <c r="K252" s="148">
        <v>43427</v>
      </c>
      <c r="L252" s="93"/>
      <c r="M252" s="250"/>
    </row>
    <row r="253" spans="1:13" s="146" customFormat="1" ht="13.5" customHeight="1" x14ac:dyDescent="0.25">
      <c r="A253" s="66" t="s">
        <v>836</v>
      </c>
      <c r="B253" s="151" t="s">
        <v>359</v>
      </c>
      <c r="C253" s="82" t="s">
        <v>7</v>
      </c>
      <c r="D253" s="147">
        <v>20181702</v>
      </c>
      <c r="E253" s="86" t="s">
        <v>5</v>
      </c>
      <c r="F253" s="149"/>
      <c r="G253" s="150">
        <v>43426</v>
      </c>
      <c r="H253" s="152">
        <v>540</v>
      </c>
      <c r="I253" s="84">
        <v>776</v>
      </c>
      <c r="J253" s="84">
        <f t="shared" si="2"/>
        <v>419040</v>
      </c>
      <c r="K253" s="148">
        <v>43427</v>
      </c>
      <c r="L253" s="93"/>
      <c r="M253" s="250"/>
    </row>
    <row r="254" spans="1:13" s="146" customFormat="1" ht="13.5" customHeight="1" x14ac:dyDescent="0.25">
      <c r="A254" s="66" t="s">
        <v>915</v>
      </c>
      <c r="B254" s="151" t="s">
        <v>32</v>
      </c>
      <c r="C254" s="82" t="s">
        <v>50</v>
      </c>
      <c r="D254" s="147" t="s">
        <v>552</v>
      </c>
      <c r="E254" s="86" t="s">
        <v>158</v>
      </c>
      <c r="F254" s="149"/>
      <c r="G254" s="150">
        <v>43427</v>
      </c>
      <c r="H254" s="152">
        <v>3304</v>
      </c>
      <c r="I254" s="84">
        <f>361.5-52.5</f>
        <v>309</v>
      </c>
      <c r="J254" s="84">
        <f t="shared" si="2"/>
        <v>1020936</v>
      </c>
      <c r="K254" s="148">
        <v>43430</v>
      </c>
      <c r="L254" s="93"/>
      <c r="M254" s="250"/>
    </row>
    <row r="255" spans="1:13" s="146" customFormat="1" ht="13.5" customHeight="1" x14ac:dyDescent="0.25">
      <c r="A255" s="66" t="s">
        <v>916</v>
      </c>
      <c r="B255" s="151" t="s">
        <v>243</v>
      </c>
      <c r="C255" s="82" t="s">
        <v>50</v>
      </c>
      <c r="D255" s="147" t="s">
        <v>552</v>
      </c>
      <c r="E255" s="86" t="s">
        <v>158</v>
      </c>
      <c r="F255" s="149"/>
      <c r="G255" s="150">
        <v>43427</v>
      </c>
      <c r="H255" s="152">
        <v>6540.65</v>
      </c>
      <c r="I255" s="84">
        <f>266.5-52.5</f>
        <v>214</v>
      </c>
      <c r="J255" s="84">
        <f t="shared" si="2"/>
        <v>1399699.0999999999</v>
      </c>
      <c r="K255" s="148">
        <v>43430</v>
      </c>
      <c r="L255" s="93"/>
      <c r="M255" s="250"/>
    </row>
    <row r="256" spans="1:13" s="146" customFormat="1" ht="13.5" customHeight="1" x14ac:dyDescent="0.25">
      <c r="A256" s="66" t="s">
        <v>811</v>
      </c>
      <c r="B256" s="151" t="s">
        <v>811</v>
      </c>
      <c r="C256" s="82" t="s">
        <v>46</v>
      </c>
      <c r="D256" s="147" t="s">
        <v>552</v>
      </c>
      <c r="E256" s="86" t="s">
        <v>5</v>
      </c>
      <c r="F256" s="149"/>
      <c r="G256" s="150">
        <v>43430</v>
      </c>
      <c r="H256" s="152">
        <v>12044.65</v>
      </c>
      <c r="I256" s="84">
        <v>52.5</v>
      </c>
      <c r="J256" s="84">
        <f t="shared" si="2"/>
        <v>632344.125</v>
      </c>
      <c r="K256" s="148">
        <v>43361</v>
      </c>
      <c r="L256" s="93"/>
      <c r="M256" s="250"/>
    </row>
    <row r="257" spans="1:13" s="146" customFormat="1" ht="13.5" customHeight="1" x14ac:dyDescent="0.25">
      <c r="A257" s="66" t="s">
        <v>837</v>
      </c>
      <c r="B257" s="151" t="s">
        <v>359</v>
      </c>
      <c r="C257" s="82" t="s">
        <v>7</v>
      </c>
      <c r="D257" s="147" t="s">
        <v>927</v>
      </c>
      <c r="E257" s="86" t="s">
        <v>5</v>
      </c>
      <c r="F257" s="149"/>
      <c r="G257" s="150">
        <v>43439</v>
      </c>
      <c r="H257" s="152">
        <v>540</v>
      </c>
      <c r="I257" s="84">
        <v>786</v>
      </c>
      <c r="J257" s="84">
        <f t="shared" si="2"/>
        <v>424440</v>
      </c>
      <c r="K257" s="148">
        <v>43439</v>
      </c>
      <c r="L257" s="93"/>
      <c r="M257" s="250"/>
    </row>
    <row r="258" spans="1:13" s="154" customFormat="1" ht="13.5" customHeight="1" x14ac:dyDescent="0.3">
      <c r="A258" s="66" t="s">
        <v>911</v>
      </c>
      <c r="B258" s="155" t="s">
        <v>6</v>
      </c>
      <c r="C258" s="82" t="s">
        <v>905</v>
      </c>
      <c r="D258" s="161" t="s">
        <v>953</v>
      </c>
      <c r="E258" s="86">
        <v>30</v>
      </c>
      <c r="F258" s="158" t="s">
        <v>20</v>
      </c>
      <c r="G258" s="159">
        <v>43470</v>
      </c>
      <c r="H258" s="156">
        <v>294</v>
      </c>
      <c r="I258" s="84">
        <v>533</v>
      </c>
      <c r="J258" s="84">
        <f t="shared" si="2"/>
        <v>156702</v>
      </c>
      <c r="K258" s="157">
        <v>43461</v>
      </c>
      <c r="L258" s="93"/>
      <c r="M258" s="250"/>
    </row>
    <row r="259" spans="1:13" s="160" customFormat="1" ht="13.5" customHeight="1" x14ac:dyDescent="0.3">
      <c r="A259" s="66" t="s">
        <v>806</v>
      </c>
      <c r="B259" s="155" t="s">
        <v>11</v>
      </c>
      <c r="C259" s="82" t="s">
        <v>883</v>
      </c>
      <c r="D259" s="162" t="s">
        <v>954</v>
      </c>
      <c r="E259" s="86">
        <v>90</v>
      </c>
      <c r="F259" s="158" t="s">
        <v>20</v>
      </c>
      <c r="G259" s="159">
        <v>43468</v>
      </c>
      <c r="H259" s="156">
        <v>200</v>
      </c>
      <c r="I259" s="84">
        <v>283</v>
      </c>
      <c r="J259" s="84">
        <f t="shared" si="2"/>
        <v>56600</v>
      </c>
      <c r="K259" s="157">
        <v>43468</v>
      </c>
      <c r="L259" s="93"/>
      <c r="M259" s="250"/>
    </row>
    <row r="260" spans="1:13" s="163" customFormat="1" ht="13.5" customHeight="1" x14ac:dyDescent="0.25">
      <c r="A260" s="66" t="s">
        <v>966</v>
      </c>
      <c r="B260" s="164" t="s">
        <v>28</v>
      </c>
      <c r="C260" s="82" t="s">
        <v>17</v>
      </c>
      <c r="D260" s="165" t="s">
        <v>959</v>
      </c>
      <c r="E260" s="86" t="s">
        <v>5</v>
      </c>
      <c r="F260" s="168"/>
      <c r="G260" s="169">
        <v>43469</v>
      </c>
      <c r="H260" s="166">
        <v>504</v>
      </c>
      <c r="I260" s="84">
        <v>260</v>
      </c>
      <c r="J260" s="84">
        <f>+I260*H260*0.8</f>
        <v>104832</v>
      </c>
      <c r="K260" s="167">
        <v>43472</v>
      </c>
      <c r="L260" s="93" t="s">
        <v>777</v>
      </c>
      <c r="M260" s="250"/>
    </row>
    <row r="261" spans="1:13" s="170" customFormat="1" ht="13.5" customHeight="1" x14ac:dyDescent="0.3">
      <c r="A261" s="66" t="s">
        <v>919</v>
      </c>
      <c r="B261" s="171" t="s">
        <v>921</v>
      </c>
      <c r="C261" s="82" t="s">
        <v>664</v>
      </c>
      <c r="D261" s="172" t="s">
        <v>964</v>
      </c>
      <c r="E261" s="86">
        <v>30</v>
      </c>
      <c r="F261" s="168" t="s">
        <v>20</v>
      </c>
      <c r="G261" s="169">
        <v>43473</v>
      </c>
      <c r="H261" s="173">
        <v>26</v>
      </c>
      <c r="I261" s="84">
        <v>330</v>
      </c>
      <c r="J261" s="84">
        <f>+I261*H261</f>
        <v>8580</v>
      </c>
      <c r="K261" s="167">
        <v>43473</v>
      </c>
      <c r="L261" s="93"/>
      <c r="M261" s="250"/>
    </row>
    <row r="262" spans="1:13" s="170" customFormat="1" ht="13.5" customHeight="1" x14ac:dyDescent="0.3">
      <c r="A262" s="66" t="s">
        <v>920</v>
      </c>
      <c r="B262" s="171" t="s">
        <v>922</v>
      </c>
      <c r="C262" s="82" t="s">
        <v>664</v>
      </c>
      <c r="D262" s="172" t="s">
        <v>965</v>
      </c>
      <c r="E262" s="86">
        <v>30</v>
      </c>
      <c r="F262" s="168" t="s">
        <v>20</v>
      </c>
      <c r="G262" s="169">
        <v>43473</v>
      </c>
      <c r="H262" s="173">
        <v>26</v>
      </c>
      <c r="I262" s="84">
        <v>280</v>
      </c>
      <c r="J262" s="84">
        <f>+I262*H262</f>
        <v>7280</v>
      </c>
      <c r="K262" s="167">
        <v>43473</v>
      </c>
      <c r="L262" s="93"/>
      <c r="M262" s="250"/>
    </row>
    <row r="263" spans="1:13" s="170" customFormat="1" ht="13.5" customHeight="1" x14ac:dyDescent="0.3">
      <c r="A263" s="66" t="s">
        <v>929</v>
      </c>
      <c r="B263" s="171" t="s">
        <v>289</v>
      </c>
      <c r="C263" s="82" t="s">
        <v>928</v>
      </c>
      <c r="D263" s="172" t="s">
        <v>552</v>
      </c>
      <c r="E263" s="86" t="s">
        <v>5</v>
      </c>
      <c r="F263" s="168"/>
      <c r="G263" s="169">
        <v>43473</v>
      </c>
      <c r="H263" s="173">
        <v>4958.0600000000004</v>
      </c>
      <c r="I263" s="84">
        <v>455</v>
      </c>
      <c r="J263" s="84">
        <f>+I263*H263</f>
        <v>2255917.3000000003</v>
      </c>
      <c r="K263" s="167">
        <v>43473</v>
      </c>
      <c r="L263" s="93"/>
      <c r="M263" s="250"/>
    </row>
    <row r="264" spans="1:13" s="170" customFormat="1" ht="13.5" customHeight="1" x14ac:dyDescent="0.25">
      <c r="A264" s="66" t="s">
        <v>940</v>
      </c>
      <c r="B264" s="171" t="s">
        <v>6</v>
      </c>
      <c r="C264" s="82" t="s">
        <v>17</v>
      </c>
      <c r="D264" s="172"/>
      <c r="E264" s="86" t="s">
        <v>5</v>
      </c>
      <c r="F264" s="168"/>
      <c r="G264" s="169">
        <v>43475</v>
      </c>
      <c r="H264" s="173">
        <v>175</v>
      </c>
      <c r="I264" s="84">
        <v>540</v>
      </c>
      <c r="J264" s="84">
        <v>18900</v>
      </c>
      <c r="K264" s="167">
        <v>43476</v>
      </c>
      <c r="L264" s="93">
        <v>0.2</v>
      </c>
      <c r="M264" s="250"/>
    </row>
    <row r="265" spans="1:13" s="170" customFormat="1" ht="13.5" customHeight="1" x14ac:dyDescent="0.25">
      <c r="A265" s="66" t="s">
        <v>941</v>
      </c>
      <c r="B265" s="171" t="s">
        <v>6</v>
      </c>
      <c r="C265" s="82" t="s">
        <v>17</v>
      </c>
      <c r="D265" s="172"/>
      <c r="E265" s="86" t="s">
        <v>5</v>
      </c>
      <c r="F265" s="168"/>
      <c r="G265" s="169">
        <v>43475</v>
      </c>
      <c r="H265" s="173">
        <v>325</v>
      </c>
      <c r="I265" s="84">
        <v>547</v>
      </c>
      <c r="J265" s="84">
        <v>35555</v>
      </c>
      <c r="K265" s="167">
        <v>43476</v>
      </c>
      <c r="L265" s="93">
        <v>0.2</v>
      </c>
      <c r="M265" s="250"/>
    </row>
    <row r="266" spans="1:13" s="170" customFormat="1" ht="13.5" customHeight="1" x14ac:dyDescent="0.25">
      <c r="A266" s="66" t="s">
        <v>942</v>
      </c>
      <c r="B266" s="171" t="s">
        <v>6</v>
      </c>
      <c r="C266" s="82" t="s">
        <v>17</v>
      </c>
      <c r="D266" s="172"/>
      <c r="E266" s="86" t="s">
        <v>5</v>
      </c>
      <c r="F266" s="168"/>
      <c r="G266" s="169">
        <v>43475</v>
      </c>
      <c r="H266" s="173">
        <v>175</v>
      </c>
      <c r="I266" s="84">
        <v>540</v>
      </c>
      <c r="J266" s="84">
        <v>18900</v>
      </c>
      <c r="K266" s="167">
        <v>43476</v>
      </c>
      <c r="L266" s="93">
        <v>0.2</v>
      </c>
      <c r="M266" s="250"/>
    </row>
    <row r="267" spans="1:13" s="170" customFormat="1" ht="13.5" customHeight="1" x14ac:dyDescent="0.25">
      <c r="A267" s="66" t="s">
        <v>943</v>
      </c>
      <c r="B267" s="171" t="s">
        <v>6</v>
      </c>
      <c r="C267" s="82" t="s">
        <v>17</v>
      </c>
      <c r="D267" s="172"/>
      <c r="E267" s="86" t="s">
        <v>5</v>
      </c>
      <c r="F267" s="168"/>
      <c r="G267" s="169">
        <v>43475</v>
      </c>
      <c r="H267" s="173">
        <v>325</v>
      </c>
      <c r="I267" s="84">
        <v>547</v>
      </c>
      <c r="J267" s="84">
        <v>35555</v>
      </c>
      <c r="K267" s="167">
        <v>43476</v>
      </c>
      <c r="L267" s="93">
        <v>0.2</v>
      </c>
      <c r="M267" s="250"/>
    </row>
    <row r="268" spans="1:13" s="170" customFormat="1" ht="13.5" customHeight="1" x14ac:dyDescent="0.3">
      <c r="A268" s="66" t="s">
        <v>846</v>
      </c>
      <c r="B268" s="171" t="s">
        <v>11</v>
      </c>
      <c r="C268" s="82" t="s">
        <v>27</v>
      </c>
      <c r="D268" s="172" t="s">
        <v>957</v>
      </c>
      <c r="E268" s="86">
        <v>90</v>
      </c>
      <c r="F268" s="168" t="s">
        <v>20</v>
      </c>
      <c r="G268" s="169">
        <v>43479</v>
      </c>
      <c r="H268" s="173">
        <v>130</v>
      </c>
      <c r="I268" s="84">
        <v>283</v>
      </c>
      <c r="J268" s="84">
        <f t="shared" ref="J268:J280" si="3">+I268*H268</f>
        <v>36790</v>
      </c>
      <c r="K268" s="167">
        <v>43480</v>
      </c>
      <c r="L268" s="93"/>
      <c r="M268" s="250"/>
    </row>
    <row r="269" spans="1:13" s="170" customFormat="1" ht="13.5" customHeight="1" x14ac:dyDescent="0.3">
      <c r="A269" s="66" t="s">
        <v>913</v>
      </c>
      <c r="B269" s="171" t="s">
        <v>6</v>
      </c>
      <c r="C269" s="82" t="s">
        <v>905</v>
      </c>
      <c r="D269" s="172" t="s">
        <v>984</v>
      </c>
      <c r="E269" s="86">
        <v>30</v>
      </c>
      <c r="F269" s="168" t="s">
        <v>20</v>
      </c>
      <c r="G269" s="169">
        <v>43480</v>
      </c>
      <c r="H269" s="173">
        <v>196</v>
      </c>
      <c r="I269" s="84">
        <v>533</v>
      </c>
      <c r="J269" s="84">
        <f t="shared" si="3"/>
        <v>104468</v>
      </c>
      <c r="K269" s="167">
        <v>43481</v>
      </c>
      <c r="L269" s="93"/>
      <c r="M269" s="250"/>
    </row>
    <row r="270" spans="1:13" s="170" customFormat="1" ht="13.5" customHeight="1" x14ac:dyDescent="0.3">
      <c r="A270" s="66" t="s">
        <v>952</v>
      </c>
      <c r="B270" s="171" t="s">
        <v>8</v>
      </c>
      <c r="C270" s="82" t="s">
        <v>46</v>
      </c>
      <c r="D270" s="172" t="s">
        <v>552</v>
      </c>
      <c r="E270" s="86" t="s">
        <v>5</v>
      </c>
      <c r="F270" s="168"/>
      <c r="G270" s="169">
        <v>43480</v>
      </c>
      <c r="H270" s="173">
        <v>2000</v>
      </c>
      <c r="I270" s="84">
        <v>451</v>
      </c>
      <c r="J270" s="84">
        <f t="shared" si="3"/>
        <v>902000</v>
      </c>
      <c r="K270" s="167">
        <v>43480</v>
      </c>
      <c r="L270" s="93"/>
      <c r="M270" s="250"/>
    </row>
    <row r="271" spans="1:13" s="170" customFormat="1" ht="13.5" customHeight="1" x14ac:dyDescent="0.3">
      <c r="A271" s="66" t="s">
        <v>930</v>
      </c>
      <c r="B271" s="171" t="s">
        <v>381</v>
      </c>
      <c r="C271" s="82" t="s">
        <v>46</v>
      </c>
      <c r="D271" s="172" t="s">
        <v>552</v>
      </c>
      <c r="E271" s="86" t="s">
        <v>5</v>
      </c>
      <c r="F271" s="168"/>
      <c r="G271" s="169">
        <v>43480</v>
      </c>
      <c r="H271" s="173">
        <v>3500</v>
      </c>
      <c r="I271" s="84">
        <v>157</v>
      </c>
      <c r="J271" s="84">
        <f t="shared" si="3"/>
        <v>549500</v>
      </c>
      <c r="K271" s="167">
        <v>43480</v>
      </c>
      <c r="L271" s="93"/>
      <c r="M271" s="250"/>
    </row>
    <row r="272" spans="1:13" s="174" customFormat="1" ht="13.5" customHeight="1" x14ac:dyDescent="0.3">
      <c r="A272" s="66" t="s">
        <v>847</v>
      </c>
      <c r="B272" s="175" t="s">
        <v>11</v>
      </c>
      <c r="C272" s="82" t="s">
        <v>27</v>
      </c>
      <c r="D272" s="176" t="s">
        <v>958</v>
      </c>
      <c r="E272" s="86">
        <v>90</v>
      </c>
      <c r="F272" s="179" t="s">
        <v>20</v>
      </c>
      <c r="G272" s="180">
        <f>+K272+E272</f>
        <v>43577</v>
      </c>
      <c r="H272" s="177">
        <v>76</v>
      </c>
      <c r="I272" s="84">
        <v>285</v>
      </c>
      <c r="J272" s="84">
        <f t="shared" si="3"/>
        <v>21660</v>
      </c>
      <c r="K272" s="178">
        <v>43487</v>
      </c>
      <c r="L272" s="93" t="s">
        <v>1001</v>
      </c>
      <c r="M272" s="250"/>
    </row>
    <row r="273" spans="1:13" s="174" customFormat="1" ht="13.5" customHeight="1" x14ac:dyDescent="0.3">
      <c r="A273" s="66" t="s">
        <v>878</v>
      </c>
      <c r="B273" s="175" t="s">
        <v>879</v>
      </c>
      <c r="C273" s="82" t="s">
        <v>1002</v>
      </c>
      <c r="D273" s="176" t="s">
        <v>961</v>
      </c>
      <c r="E273" s="86">
        <v>90</v>
      </c>
      <c r="F273" s="179" t="s">
        <v>20</v>
      </c>
      <c r="G273" s="180">
        <v>43484</v>
      </c>
      <c r="H273" s="177">
        <v>80</v>
      </c>
      <c r="I273" s="84">
        <v>480</v>
      </c>
      <c r="J273" s="84">
        <f t="shared" si="3"/>
        <v>38400</v>
      </c>
      <c r="K273" s="178">
        <v>43488</v>
      </c>
      <c r="L273" s="93" t="s">
        <v>1001</v>
      </c>
      <c r="M273" s="250"/>
    </row>
    <row r="274" spans="1:13" s="174" customFormat="1" ht="13.5" customHeight="1" x14ac:dyDescent="0.25">
      <c r="A274" s="66" t="s">
        <v>948</v>
      </c>
      <c r="B274" s="175" t="s">
        <v>949</v>
      </c>
      <c r="C274" s="82" t="s">
        <v>7</v>
      </c>
      <c r="D274" s="176" t="s">
        <v>1000</v>
      </c>
      <c r="E274" s="86" t="s">
        <v>5</v>
      </c>
      <c r="F274" s="179"/>
      <c r="G274" s="180">
        <v>43495</v>
      </c>
      <c r="H274" s="177">
        <v>24.8</v>
      </c>
      <c r="I274" s="84">
        <v>788</v>
      </c>
      <c r="J274" s="84">
        <f t="shared" si="3"/>
        <v>19542.400000000001</v>
      </c>
      <c r="K274" s="178">
        <v>43490</v>
      </c>
      <c r="L274" s="93"/>
      <c r="M274" s="250"/>
    </row>
    <row r="275" spans="1:13" s="174" customFormat="1" ht="13.5" customHeight="1" x14ac:dyDescent="0.3">
      <c r="A275" s="66" t="s">
        <v>863</v>
      </c>
      <c r="B275" s="175" t="s">
        <v>854</v>
      </c>
      <c r="C275" s="82" t="s">
        <v>44</v>
      </c>
      <c r="D275" s="176" t="s">
        <v>960</v>
      </c>
      <c r="E275" s="86">
        <v>90</v>
      </c>
      <c r="F275" s="179" t="s">
        <v>20</v>
      </c>
      <c r="G275" s="180">
        <v>43489</v>
      </c>
      <c r="H275" s="177">
        <v>27.215540000000001</v>
      </c>
      <c r="I275" s="84">
        <v>1166.8900000000001</v>
      </c>
      <c r="J275" s="84">
        <f t="shared" si="3"/>
        <v>31757.541470600005</v>
      </c>
      <c r="K275" s="178">
        <v>43490</v>
      </c>
      <c r="L275" s="93" t="s">
        <v>1001</v>
      </c>
      <c r="M275" s="250"/>
    </row>
    <row r="276" spans="1:13" s="174" customFormat="1" ht="13.5" customHeight="1" x14ac:dyDescent="0.3">
      <c r="A276" s="66" t="s">
        <v>894</v>
      </c>
      <c r="B276" s="175" t="s">
        <v>748</v>
      </c>
      <c r="C276" s="82" t="s">
        <v>245</v>
      </c>
      <c r="D276" s="176" t="s">
        <v>962</v>
      </c>
      <c r="E276" s="86">
        <v>60</v>
      </c>
      <c r="F276" s="179" t="s">
        <v>45</v>
      </c>
      <c r="G276" s="180">
        <f>+K276+E276</f>
        <v>43550</v>
      </c>
      <c r="H276" s="177">
        <v>44</v>
      </c>
      <c r="I276" s="84">
        <v>690</v>
      </c>
      <c r="J276" s="84">
        <f t="shared" si="3"/>
        <v>30360</v>
      </c>
      <c r="K276" s="178">
        <v>43490</v>
      </c>
      <c r="L276" s="93" t="s">
        <v>1006</v>
      </c>
      <c r="M276" s="250"/>
    </row>
    <row r="277" spans="1:13" s="174" customFormat="1" ht="13.5" customHeight="1" x14ac:dyDescent="0.3">
      <c r="A277" s="66" t="s">
        <v>895</v>
      </c>
      <c r="B277" s="175" t="s">
        <v>748</v>
      </c>
      <c r="C277" s="82" t="s">
        <v>245</v>
      </c>
      <c r="D277" s="176" t="s">
        <v>963</v>
      </c>
      <c r="E277" s="86">
        <v>60</v>
      </c>
      <c r="F277" s="179" t="s">
        <v>45</v>
      </c>
      <c r="G277" s="180">
        <f>+K277+E277</f>
        <v>43550</v>
      </c>
      <c r="H277" s="177">
        <v>44</v>
      </c>
      <c r="I277" s="84">
        <v>695</v>
      </c>
      <c r="J277" s="84">
        <f t="shared" si="3"/>
        <v>30580</v>
      </c>
      <c r="K277" s="178">
        <v>43490</v>
      </c>
      <c r="L277" s="93" t="s">
        <v>1007</v>
      </c>
      <c r="M277" s="250"/>
    </row>
    <row r="278" spans="1:13" s="174" customFormat="1" ht="13.5" customHeight="1" x14ac:dyDescent="0.25">
      <c r="A278" s="66" t="s">
        <v>985</v>
      </c>
      <c r="B278" s="175" t="s">
        <v>32</v>
      </c>
      <c r="C278" s="187" t="s">
        <v>1036</v>
      </c>
      <c r="D278" s="176" t="s">
        <v>552</v>
      </c>
      <c r="E278" s="86" t="s">
        <v>5</v>
      </c>
      <c r="F278" s="179"/>
      <c r="G278" s="180">
        <v>43490</v>
      </c>
      <c r="H278" s="177">
        <v>4400</v>
      </c>
      <c r="I278" s="84">
        <f>321-5</f>
        <v>316</v>
      </c>
      <c r="J278" s="84">
        <f t="shared" si="3"/>
        <v>1390400</v>
      </c>
      <c r="K278" s="178">
        <v>43491</v>
      </c>
      <c r="L278" s="93"/>
      <c r="M278" s="250"/>
    </row>
    <row r="279" spans="1:13" s="174" customFormat="1" ht="13.5" customHeight="1" x14ac:dyDescent="0.25">
      <c r="A279" s="66" t="s">
        <v>986</v>
      </c>
      <c r="B279" s="175" t="s">
        <v>33</v>
      </c>
      <c r="C279" s="187" t="s">
        <v>1036</v>
      </c>
      <c r="D279" s="176" t="s">
        <v>552</v>
      </c>
      <c r="E279" s="86" t="s">
        <v>5</v>
      </c>
      <c r="F279" s="179"/>
      <c r="G279" s="180">
        <v>43490</v>
      </c>
      <c r="H279" s="177">
        <v>2750</v>
      </c>
      <c r="I279" s="84">
        <f>331-5</f>
        <v>326</v>
      </c>
      <c r="J279" s="84">
        <f t="shared" si="3"/>
        <v>896500</v>
      </c>
      <c r="K279" s="178">
        <v>43491</v>
      </c>
      <c r="L279" s="93"/>
      <c r="M279" s="250"/>
    </row>
    <row r="280" spans="1:13" s="174" customFormat="1" ht="13.5" customHeight="1" x14ac:dyDescent="0.3">
      <c r="A280" s="66" t="s">
        <v>821</v>
      </c>
      <c r="B280" s="175" t="s">
        <v>14</v>
      </c>
      <c r="C280" s="82" t="s">
        <v>15</v>
      </c>
      <c r="D280" s="176" t="s">
        <v>956</v>
      </c>
      <c r="E280" s="86">
        <v>90</v>
      </c>
      <c r="F280" s="179" t="s">
        <v>20</v>
      </c>
      <c r="G280" s="180">
        <v>43497</v>
      </c>
      <c r="H280" s="177">
        <v>505.4</v>
      </c>
      <c r="I280" s="84">
        <v>865</v>
      </c>
      <c r="J280" s="84">
        <f t="shared" si="3"/>
        <v>437171</v>
      </c>
      <c r="K280" s="178">
        <v>43497</v>
      </c>
      <c r="L280" s="93"/>
      <c r="M280" s="250"/>
    </row>
    <row r="281" spans="1:13" s="181" customFormat="1" ht="13.5" customHeight="1" x14ac:dyDescent="0.3">
      <c r="A281" s="185" t="s">
        <v>1012</v>
      </c>
      <c r="B281" s="182" t="s">
        <v>6</v>
      </c>
      <c r="C281" s="187" t="s">
        <v>905</v>
      </c>
      <c r="D281" s="184" t="s">
        <v>1003</v>
      </c>
      <c r="E281" s="190">
        <v>30</v>
      </c>
      <c r="F281" s="189" t="s">
        <v>20</v>
      </c>
      <c r="G281" s="186">
        <v>43501</v>
      </c>
      <c r="H281" s="183">
        <v>294</v>
      </c>
      <c r="I281" s="188">
        <v>533</v>
      </c>
      <c r="J281" s="188">
        <v>156702</v>
      </c>
      <c r="K281" s="191">
        <v>43501</v>
      </c>
      <c r="L281" s="192"/>
      <c r="M281" s="250"/>
    </row>
    <row r="282" spans="1:13" s="181" customFormat="1" ht="13.5" customHeight="1" x14ac:dyDescent="0.25">
      <c r="A282" s="185" t="s">
        <v>939</v>
      </c>
      <c r="B282" s="182" t="s">
        <v>278</v>
      </c>
      <c r="C282" s="187" t="s">
        <v>277</v>
      </c>
      <c r="D282" s="184" t="s">
        <v>1009</v>
      </c>
      <c r="E282" s="190" t="s">
        <v>5</v>
      </c>
      <c r="F282" s="189"/>
      <c r="G282" s="186">
        <v>43501</v>
      </c>
      <c r="H282" s="183">
        <v>535</v>
      </c>
      <c r="I282" s="188">
        <v>390</v>
      </c>
      <c r="J282" s="188">
        <v>208650</v>
      </c>
      <c r="K282" s="191">
        <v>43501</v>
      </c>
      <c r="L282" s="192"/>
      <c r="M282" s="250"/>
    </row>
    <row r="283" spans="1:13" s="181" customFormat="1" ht="13.5" customHeight="1" x14ac:dyDescent="0.25">
      <c r="A283" s="185" t="s">
        <v>944</v>
      </c>
      <c r="B283" s="182" t="s">
        <v>945</v>
      </c>
      <c r="C283" s="187" t="s">
        <v>7</v>
      </c>
      <c r="D283" s="184" t="s">
        <v>1005</v>
      </c>
      <c r="E283" s="190" t="s">
        <v>5</v>
      </c>
      <c r="F283" s="189"/>
      <c r="G283" s="186">
        <v>43502</v>
      </c>
      <c r="H283" s="183">
        <v>24.65</v>
      </c>
      <c r="I283" s="188">
        <v>750</v>
      </c>
      <c r="J283" s="188">
        <v>18487.5</v>
      </c>
      <c r="K283" s="191">
        <v>43501</v>
      </c>
      <c r="L283" s="192"/>
      <c r="M283" s="250"/>
    </row>
    <row r="284" spans="1:13" s="181" customFormat="1" ht="13.5" customHeight="1" x14ac:dyDescent="0.25">
      <c r="A284" s="185" t="s">
        <v>946</v>
      </c>
      <c r="B284" s="182" t="s">
        <v>947</v>
      </c>
      <c r="C284" s="187" t="s">
        <v>7</v>
      </c>
      <c r="D284" s="184" t="s">
        <v>1005</v>
      </c>
      <c r="E284" s="190" t="s">
        <v>5</v>
      </c>
      <c r="F284" s="189"/>
      <c r="G284" s="186">
        <v>43502</v>
      </c>
      <c r="H284" s="183">
        <v>23.94</v>
      </c>
      <c r="I284" s="188">
        <v>434</v>
      </c>
      <c r="J284" s="188">
        <v>10389.960000000001</v>
      </c>
      <c r="K284" s="191">
        <v>43501</v>
      </c>
      <c r="L284" s="192"/>
      <c r="M284" s="250"/>
    </row>
    <row r="285" spans="1:13" s="181" customFormat="1" ht="13.5" customHeight="1" x14ac:dyDescent="0.3">
      <c r="A285" s="185" t="s">
        <v>820</v>
      </c>
      <c r="B285" s="182" t="s">
        <v>14</v>
      </c>
      <c r="C285" s="187" t="s">
        <v>15</v>
      </c>
      <c r="D285" s="184" t="s">
        <v>955</v>
      </c>
      <c r="E285" s="190">
        <v>90</v>
      </c>
      <c r="F285" s="189" t="s">
        <v>20</v>
      </c>
      <c r="G285" s="186">
        <v>43502</v>
      </c>
      <c r="H285" s="183">
        <v>505.4</v>
      </c>
      <c r="I285" s="188">
        <v>860</v>
      </c>
      <c r="J285" s="188">
        <f>+I285*H285</f>
        <v>434644</v>
      </c>
      <c r="K285" s="191">
        <v>43503</v>
      </c>
      <c r="L285" s="192" t="s">
        <v>1001</v>
      </c>
      <c r="M285" s="250"/>
    </row>
    <row r="286" spans="1:13" s="181" customFormat="1" ht="13.5" customHeight="1" x14ac:dyDescent="0.25">
      <c r="A286" s="185" t="s">
        <v>1062</v>
      </c>
      <c r="B286" s="182" t="s">
        <v>33</v>
      </c>
      <c r="C286" s="187" t="s">
        <v>1036</v>
      </c>
      <c r="D286" s="184"/>
      <c r="E286" s="190" t="s">
        <v>5</v>
      </c>
      <c r="F286" s="189"/>
      <c r="G286" s="186">
        <v>43504</v>
      </c>
      <c r="H286" s="183">
        <v>200</v>
      </c>
      <c r="I286" s="188">
        <v>320</v>
      </c>
      <c r="J286" s="188">
        <v>64000</v>
      </c>
      <c r="K286" s="191">
        <v>43504</v>
      </c>
      <c r="L286" s="192" t="s">
        <v>1044</v>
      </c>
      <c r="M286" s="250"/>
    </row>
    <row r="287" spans="1:13" s="181" customFormat="1" ht="13.5" customHeight="1" x14ac:dyDescent="0.25">
      <c r="A287" s="185" t="s">
        <v>1063</v>
      </c>
      <c r="B287" s="182" t="s">
        <v>33</v>
      </c>
      <c r="C287" s="187" t="s">
        <v>1036</v>
      </c>
      <c r="D287" s="184"/>
      <c r="E287" s="190" t="s">
        <v>5</v>
      </c>
      <c r="F287" s="189"/>
      <c r="G287" s="186">
        <v>43504</v>
      </c>
      <c r="H287" s="183">
        <v>1000</v>
      </c>
      <c r="I287" s="188">
        <v>320</v>
      </c>
      <c r="J287" s="188">
        <v>320000</v>
      </c>
      <c r="K287" s="191">
        <v>43504</v>
      </c>
      <c r="L287" s="192" t="s">
        <v>1044</v>
      </c>
      <c r="M287" s="250"/>
    </row>
    <row r="288" spans="1:13" s="181" customFormat="1" ht="13.5" customHeight="1" x14ac:dyDescent="0.25">
      <c r="A288" s="185" t="s">
        <v>938</v>
      </c>
      <c r="B288" s="182" t="s">
        <v>278</v>
      </c>
      <c r="C288" s="187" t="s">
        <v>277</v>
      </c>
      <c r="D288" s="184" t="s">
        <v>1008</v>
      </c>
      <c r="E288" s="190" t="s">
        <v>5</v>
      </c>
      <c r="F288" s="189"/>
      <c r="G288" s="186">
        <v>43504</v>
      </c>
      <c r="H288" s="183">
        <v>522</v>
      </c>
      <c r="I288" s="188">
        <v>380</v>
      </c>
      <c r="J288" s="188">
        <f>+I288*H288</f>
        <v>198360</v>
      </c>
      <c r="K288" s="191">
        <v>43504</v>
      </c>
      <c r="L288" s="192"/>
      <c r="M288" s="250"/>
    </row>
    <row r="289" spans="1:13" s="181" customFormat="1" ht="13.5" customHeight="1" x14ac:dyDescent="0.3">
      <c r="A289" s="185" t="s">
        <v>914</v>
      </c>
      <c r="B289" s="182" t="s">
        <v>6</v>
      </c>
      <c r="C289" s="187" t="s">
        <v>905</v>
      </c>
      <c r="D289" s="184" t="s">
        <v>1004</v>
      </c>
      <c r="E289" s="190">
        <v>30</v>
      </c>
      <c r="F289" s="189" t="s">
        <v>20</v>
      </c>
      <c r="G289" s="186">
        <v>43508</v>
      </c>
      <c r="H289" s="183">
        <v>294</v>
      </c>
      <c r="I289" s="188">
        <v>533</v>
      </c>
      <c r="J289" s="188">
        <f>+I289*H289</f>
        <v>156702</v>
      </c>
      <c r="K289" s="191">
        <v>43508</v>
      </c>
      <c r="L289" s="192"/>
      <c r="M289" s="250"/>
    </row>
    <row r="290" spans="1:13" s="181" customFormat="1" ht="13.5" customHeight="1" x14ac:dyDescent="0.25">
      <c r="A290" s="185" t="s">
        <v>1016</v>
      </c>
      <c r="B290" s="182" t="s">
        <v>6</v>
      </c>
      <c r="C290" s="187" t="s">
        <v>17</v>
      </c>
      <c r="D290" s="184" t="s">
        <v>999</v>
      </c>
      <c r="E290" s="190" t="s">
        <v>5</v>
      </c>
      <c r="F290" s="189"/>
      <c r="G290" s="186">
        <v>43509</v>
      </c>
      <c r="H290" s="183">
        <v>350</v>
      </c>
      <c r="I290" s="188">
        <v>540</v>
      </c>
      <c r="J290" s="188">
        <f>+H290*I290*L290</f>
        <v>151200</v>
      </c>
      <c r="K290" s="191">
        <v>43508</v>
      </c>
      <c r="L290" s="192">
        <v>0.8</v>
      </c>
      <c r="M290" s="250"/>
    </row>
    <row r="291" spans="1:13" s="181" customFormat="1" ht="13.5" customHeight="1" x14ac:dyDescent="0.3">
      <c r="A291" s="185" t="s">
        <v>1011</v>
      </c>
      <c r="B291" s="182" t="s">
        <v>6</v>
      </c>
      <c r="C291" s="187" t="s">
        <v>905</v>
      </c>
      <c r="D291" s="184" t="s">
        <v>1043</v>
      </c>
      <c r="E291" s="190">
        <v>30</v>
      </c>
      <c r="F291" s="189" t="s">
        <v>20</v>
      </c>
      <c r="G291" s="186">
        <v>43515</v>
      </c>
      <c r="H291" s="183">
        <v>612.5</v>
      </c>
      <c r="I291" s="188">
        <v>533</v>
      </c>
      <c r="J291" s="188">
        <v>326462.5</v>
      </c>
      <c r="K291" s="191">
        <v>43515</v>
      </c>
      <c r="L291" s="192"/>
      <c r="M291" s="250"/>
    </row>
    <row r="292" spans="1:13" s="181" customFormat="1" ht="13.5" customHeight="1" x14ac:dyDescent="0.3">
      <c r="A292" s="185" t="s">
        <v>1013</v>
      </c>
      <c r="B292" s="182" t="s">
        <v>6</v>
      </c>
      <c r="C292" s="187" t="s">
        <v>905</v>
      </c>
      <c r="D292" s="184" t="s">
        <v>1042</v>
      </c>
      <c r="E292" s="190">
        <v>30</v>
      </c>
      <c r="F292" s="189" t="s">
        <v>20</v>
      </c>
      <c r="G292" s="186">
        <v>43515</v>
      </c>
      <c r="H292" s="183">
        <v>196</v>
      </c>
      <c r="I292" s="188">
        <v>533</v>
      </c>
      <c r="J292" s="188">
        <v>104468</v>
      </c>
      <c r="K292" s="191">
        <v>43515</v>
      </c>
      <c r="L292" s="192"/>
      <c r="M292" s="250"/>
    </row>
    <row r="293" spans="1:13" s="181" customFormat="1" ht="13.5" customHeight="1" x14ac:dyDescent="0.3">
      <c r="A293" s="185" t="s">
        <v>912</v>
      </c>
      <c r="B293" s="182" t="s">
        <v>6</v>
      </c>
      <c r="C293" s="187" t="s">
        <v>905</v>
      </c>
      <c r="D293" s="184" t="s">
        <v>1041</v>
      </c>
      <c r="E293" s="190">
        <v>30</v>
      </c>
      <c r="F293" s="189" t="s">
        <v>20</v>
      </c>
      <c r="G293" s="186">
        <v>43515</v>
      </c>
      <c r="H293" s="183">
        <v>98</v>
      </c>
      <c r="I293" s="188">
        <v>568</v>
      </c>
      <c r="J293" s="188">
        <v>55664</v>
      </c>
      <c r="K293" s="191">
        <v>43515</v>
      </c>
      <c r="L293" s="192"/>
      <c r="M293" s="250"/>
    </row>
    <row r="294" spans="1:13" s="181" customFormat="1" ht="13.5" customHeight="1" x14ac:dyDescent="0.3">
      <c r="A294" s="185" t="s">
        <v>850</v>
      </c>
      <c r="B294" s="182" t="s">
        <v>449</v>
      </c>
      <c r="C294" s="187" t="s">
        <v>796</v>
      </c>
      <c r="D294" s="184" t="s">
        <v>552</v>
      </c>
      <c r="E294" s="190">
        <v>90</v>
      </c>
      <c r="F294" s="189" t="s">
        <v>20</v>
      </c>
      <c r="G294" s="186">
        <v>43515</v>
      </c>
      <c r="H294" s="183">
        <v>2970</v>
      </c>
      <c r="I294" s="188">
        <v>309.5</v>
      </c>
      <c r="J294" s="188">
        <v>919215</v>
      </c>
      <c r="K294" s="191">
        <v>43516</v>
      </c>
      <c r="L294" s="192"/>
      <c r="M294" s="250"/>
    </row>
    <row r="295" spans="1:13" s="181" customFormat="1" ht="13.5" customHeight="1" x14ac:dyDescent="0.3">
      <c r="A295" s="185" t="s">
        <v>857</v>
      </c>
      <c r="B295" s="182" t="s">
        <v>448</v>
      </c>
      <c r="C295" s="187" t="s">
        <v>796</v>
      </c>
      <c r="D295" s="184" t="s">
        <v>858</v>
      </c>
      <c r="E295" s="190">
        <v>180</v>
      </c>
      <c r="F295" s="189" t="s">
        <v>20</v>
      </c>
      <c r="G295" s="186">
        <v>43516</v>
      </c>
      <c r="H295" s="183">
        <v>2800</v>
      </c>
      <c r="I295" s="188">
        <v>312.5</v>
      </c>
      <c r="J295" s="188">
        <v>875000</v>
      </c>
      <c r="K295" s="191">
        <v>43516</v>
      </c>
      <c r="L295" s="192"/>
      <c r="M295" s="250"/>
    </row>
    <row r="296" spans="1:13" s="181" customFormat="1" ht="13.5" customHeight="1" x14ac:dyDescent="0.25">
      <c r="A296" s="185" t="s">
        <v>1017</v>
      </c>
      <c r="B296" s="182" t="s">
        <v>6</v>
      </c>
      <c r="C296" s="187" t="s">
        <v>17</v>
      </c>
      <c r="D296" s="184" t="s">
        <v>1015</v>
      </c>
      <c r="E296" s="190" t="s">
        <v>5</v>
      </c>
      <c r="F296" s="189"/>
      <c r="G296" s="186">
        <v>43515</v>
      </c>
      <c r="H296" s="183">
        <v>325</v>
      </c>
      <c r="I296" s="188">
        <v>547</v>
      </c>
      <c r="J296" s="188">
        <v>142220</v>
      </c>
      <c r="K296" s="191">
        <v>43516</v>
      </c>
      <c r="L296" s="192">
        <v>0.8</v>
      </c>
      <c r="M296" s="250"/>
    </row>
    <row r="297" spans="1:13" s="196" customFormat="1" ht="13.5" customHeight="1" x14ac:dyDescent="0.3">
      <c r="A297" s="185" t="s">
        <v>900</v>
      </c>
      <c r="B297" s="193" t="s">
        <v>4</v>
      </c>
      <c r="C297" s="187" t="s">
        <v>245</v>
      </c>
      <c r="D297" s="194" t="s">
        <v>982</v>
      </c>
      <c r="E297" s="190">
        <v>90</v>
      </c>
      <c r="F297" s="189" t="s">
        <v>20</v>
      </c>
      <c r="G297" s="186">
        <v>43520</v>
      </c>
      <c r="H297" s="195">
        <v>280.08600000000001</v>
      </c>
      <c r="I297" s="188">
        <v>535</v>
      </c>
      <c r="J297" s="188">
        <v>149846.01</v>
      </c>
      <c r="K297" s="191">
        <v>43522</v>
      </c>
      <c r="L297" s="192"/>
      <c r="M297" s="250"/>
    </row>
    <row r="298" spans="1:13" s="196" customFormat="1" ht="13.5" customHeight="1" x14ac:dyDescent="0.3">
      <c r="A298" s="185" t="s">
        <v>901</v>
      </c>
      <c r="B298" s="193" t="s">
        <v>4</v>
      </c>
      <c r="C298" s="187" t="s">
        <v>245</v>
      </c>
      <c r="D298" s="194" t="s">
        <v>983</v>
      </c>
      <c r="E298" s="190">
        <v>90</v>
      </c>
      <c r="F298" s="189" t="s">
        <v>20</v>
      </c>
      <c r="G298" s="186">
        <v>43520</v>
      </c>
      <c r="H298" s="195">
        <v>560.11199999999997</v>
      </c>
      <c r="I298" s="188">
        <v>540</v>
      </c>
      <c r="J298" s="188">
        <v>302460.48</v>
      </c>
      <c r="K298" s="191">
        <v>43522</v>
      </c>
      <c r="L298" s="192"/>
      <c r="M298" s="250"/>
    </row>
    <row r="299" spans="1:13" s="196" customFormat="1" ht="13.5" customHeight="1" x14ac:dyDescent="0.3">
      <c r="A299" s="185" t="s">
        <v>988</v>
      </c>
      <c r="B299" s="193" t="s">
        <v>992</v>
      </c>
      <c r="C299" s="187" t="s">
        <v>994</v>
      </c>
      <c r="D299" s="194" t="s">
        <v>552</v>
      </c>
      <c r="E299" s="190">
        <v>90</v>
      </c>
      <c r="F299" s="189" t="s">
        <v>20</v>
      </c>
      <c r="G299" s="186">
        <f>+K299+E299</f>
        <v>43612</v>
      </c>
      <c r="H299" s="195"/>
      <c r="I299" s="188"/>
      <c r="J299" s="188">
        <v>283484.3</v>
      </c>
      <c r="K299" s="191">
        <v>43522</v>
      </c>
      <c r="L299" s="192"/>
      <c r="M299" s="250"/>
    </row>
    <row r="300" spans="1:13" s="196" customFormat="1" ht="13.5" customHeight="1" x14ac:dyDescent="0.3">
      <c r="A300" s="185" t="s">
        <v>1021</v>
      </c>
      <c r="B300" s="193" t="s">
        <v>14</v>
      </c>
      <c r="C300" s="187" t="s">
        <v>928</v>
      </c>
      <c r="D300" s="194" t="s">
        <v>1061</v>
      </c>
      <c r="E300" s="190" t="s">
        <v>5</v>
      </c>
      <c r="F300" s="189"/>
      <c r="G300" s="186">
        <v>43523</v>
      </c>
      <c r="H300" s="195">
        <v>408</v>
      </c>
      <c r="I300" s="188">
        <v>868</v>
      </c>
      <c r="J300" s="188">
        <f>+I300*H300</f>
        <v>354144</v>
      </c>
      <c r="K300" s="191">
        <v>43523</v>
      </c>
      <c r="L300" s="192"/>
      <c r="M300" s="250"/>
    </row>
    <row r="301" spans="1:13" s="196" customFormat="1" ht="13.5" customHeight="1" x14ac:dyDescent="0.3">
      <c r="A301" s="185" t="s">
        <v>822</v>
      </c>
      <c r="B301" s="193" t="s">
        <v>14</v>
      </c>
      <c r="C301" s="187" t="s">
        <v>15</v>
      </c>
      <c r="D301" s="194" t="s">
        <v>887</v>
      </c>
      <c r="E301" s="190">
        <v>90</v>
      </c>
      <c r="F301" s="189" t="s">
        <v>20</v>
      </c>
      <c r="G301" s="186">
        <v>43525</v>
      </c>
      <c r="H301" s="195">
        <v>96</v>
      </c>
      <c r="I301" s="188">
        <v>877</v>
      </c>
      <c r="J301" s="188">
        <v>84192</v>
      </c>
      <c r="K301" s="191">
        <v>43497</v>
      </c>
      <c r="L301" s="192"/>
      <c r="M301" s="250"/>
    </row>
    <row r="302" spans="1:13" s="196" customFormat="1" ht="13.5" customHeight="1" x14ac:dyDescent="0.3">
      <c r="A302" s="185" t="s">
        <v>823</v>
      </c>
      <c r="B302" s="193" t="s">
        <v>14</v>
      </c>
      <c r="C302" s="187" t="s">
        <v>15</v>
      </c>
      <c r="D302" s="194" t="s">
        <v>888</v>
      </c>
      <c r="E302" s="190">
        <v>90</v>
      </c>
      <c r="F302" s="189" t="s">
        <v>20</v>
      </c>
      <c r="G302" s="186">
        <v>43525</v>
      </c>
      <c r="H302" s="195">
        <v>120</v>
      </c>
      <c r="I302" s="188">
        <v>887</v>
      </c>
      <c r="J302" s="188">
        <v>106440</v>
      </c>
      <c r="K302" s="191">
        <v>43497</v>
      </c>
      <c r="L302" s="192"/>
      <c r="M302" s="250"/>
    </row>
    <row r="303" spans="1:13" s="196" customFormat="1" ht="13.5" customHeight="1" x14ac:dyDescent="0.25">
      <c r="A303" s="185" t="s">
        <v>1018</v>
      </c>
      <c r="B303" s="193" t="s">
        <v>6</v>
      </c>
      <c r="C303" s="187" t="s">
        <v>17</v>
      </c>
      <c r="D303" s="194"/>
      <c r="E303" s="190" t="s">
        <v>5</v>
      </c>
      <c r="F303" s="189"/>
      <c r="G303" s="186">
        <v>43529</v>
      </c>
      <c r="H303" s="195">
        <v>325</v>
      </c>
      <c r="I303" s="188">
        <v>547</v>
      </c>
      <c r="J303" s="188">
        <f>+H303*I303*L303</f>
        <v>142220</v>
      </c>
      <c r="K303" s="191">
        <v>43530</v>
      </c>
      <c r="L303" s="192">
        <v>0.8</v>
      </c>
      <c r="M303" s="250"/>
    </row>
    <row r="304" spans="1:13" s="196" customFormat="1" ht="13.5" customHeight="1" x14ac:dyDescent="0.3">
      <c r="A304" s="185" t="s">
        <v>853</v>
      </c>
      <c r="B304" s="193" t="s">
        <v>10</v>
      </c>
      <c r="C304" s="187" t="s">
        <v>7</v>
      </c>
      <c r="D304" s="194" t="s">
        <v>971</v>
      </c>
      <c r="E304" s="190">
        <v>120</v>
      </c>
      <c r="F304" s="189" t="s">
        <v>20</v>
      </c>
      <c r="G304" s="186">
        <v>43530</v>
      </c>
      <c r="H304" s="195">
        <v>1080</v>
      </c>
      <c r="I304" s="188">
        <v>259</v>
      </c>
      <c r="J304" s="188">
        <f>+I304*H304</f>
        <v>279720</v>
      </c>
      <c r="K304" s="191">
        <v>43530</v>
      </c>
      <c r="L304" s="192" t="s">
        <v>499</v>
      </c>
      <c r="M304" s="250"/>
    </row>
    <row r="305" spans="1:13" s="196" customFormat="1" ht="13.5" customHeight="1" x14ac:dyDescent="0.3">
      <c r="A305" s="185" t="s">
        <v>896</v>
      </c>
      <c r="B305" s="193" t="s">
        <v>789</v>
      </c>
      <c r="C305" s="187" t="s">
        <v>280</v>
      </c>
      <c r="D305" s="194" t="s">
        <v>902</v>
      </c>
      <c r="E305" s="190">
        <v>90</v>
      </c>
      <c r="F305" s="189" t="s">
        <v>20</v>
      </c>
      <c r="G305" s="186">
        <f>+K305+E305</f>
        <v>43622</v>
      </c>
      <c r="H305" s="195">
        <v>800.4</v>
      </c>
      <c r="I305" s="188">
        <v>135</v>
      </c>
      <c r="J305" s="188">
        <f>+I305*H305</f>
        <v>108054</v>
      </c>
      <c r="K305" s="191">
        <v>43532</v>
      </c>
      <c r="L305" s="192"/>
      <c r="M305" s="250"/>
    </row>
    <row r="306" spans="1:13" s="196" customFormat="1" ht="13.5" customHeight="1" x14ac:dyDescent="0.3">
      <c r="A306" s="185" t="s">
        <v>909</v>
      </c>
      <c r="B306" s="193" t="s">
        <v>6</v>
      </c>
      <c r="C306" s="187" t="s">
        <v>7</v>
      </c>
      <c r="D306" s="194" t="s">
        <v>970</v>
      </c>
      <c r="E306" s="190">
        <v>120</v>
      </c>
      <c r="F306" s="189" t="s">
        <v>20</v>
      </c>
      <c r="G306" s="186">
        <v>43535</v>
      </c>
      <c r="H306" s="195">
        <v>750</v>
      </c>
      <c r="I306" s="188">
        <v>538</v>
      </c>
      <c r="J306" s="188">
        <f>+I306*H306</f>
        <v>403500</v>
      </c>
      <c r="K306" s="191">
        <v>43535</v>
      </c>
      <c r="L306" s="192" t="s">
        <v>499</v>
      </c>
      <c r="M306" s="250"/>
    </row>
    <row r="307" spans="1:13" s="196" customFormat="1" ht="13.5" customHeight="1" x14ac:dyDescent="0.25">
      <c r="A307" s="185" t="s">
        <v>1024</v>
      </c>
      <c r="B307" s="193" t="s">
        <v>788</v>
      </c>
      <c r="C307" s="187" t="s">
        <v>928</v>
      </c>
      <c r="D307" s="194" t="s">
        <v>552</v>
      </c>
      <c r="E307" s="190" t="s">
        <v>5</v>
      </c>
      <c r="F307" s="189"/>
      <c r="G307" s="186">
        <v>43539</v>
      </c>
      <c r="H307" s="195">
        <v>700</v>
      </c>
      <c r="I307" s="188">
        <v>190</v>
      </c>
      <c r="J307" s="188">
        <v>133000</v>
      </c>
      <c r="K307" s="191">
        <v>43539</v>
      </c>
      <c r="L307" s="192"/>
      <c r="M307" s="250"/>
    </row>
    <row r="308" spans="1:13" s="196" customFormat="1" ht="13.5" customHeight="1" x14ac:dyDescent="0.25">
      <c r="A308" s="185" t="s">
        <v>1025</v>
      </c>
      <c r="B308" s="193" t="s">
        <v>788</v>
      </c>
      <c r="C308" s="187" t="s">
        <v>928</v>
      </c>
      <c r="D308" s="194" t="s">
        <v>552</v>
      </c>
      <c r="E308" s="190" t="s">
        <v>5</v>
      </c>
      <c r="F308" s="189"/>
      <c r="G308" s="186">
        <v>43539</v>
      </c>
      <c r="H308" s="195">
        <v>300</v>
      </c>
      <c r="I308" s="188">
        <v>190</v>
      </c>
      <c r="J308" s="188">
        <v>57000</v>
      </c>
      <c r="K308" s="191">
        <v>43539</v>
      </c>
      <c r="L308" s="192"/>
      <c r="M308" s="250"/>
    </row>
    <row r="309" spans="1:13" s="196" customFormat="1" ht="13.5" customHeight="1" x14ac:dyDescent="0.3">
      <c r="A309" s="185" t="s">
        <v>1026</v>
      </c>
      <c r="B309" s="193" t="s">
        <v>35</v>
      </c>
      <c r="C309" s="187" t="s">
        <v>928</v>
      </c>
      <c r="D309" s="194" t="s">
        <v>552</v>
      </c>
      <c r="E309" s="190" t="s">
        <v>5</v>
      </c>
      <c r="F309" s="189"/>
      <c r="G309" s="186">
        <v>43539</v>
      </c>
      <c r="H309" s="195">
        <v>360</v>
      </c>
      <c r="I309" s="188">
        <v>615</v>
      </c>
      <c r="J309" s="188">
        <v>221400</v>
      </c>
      <c r="K309" s="191">
        <v>43539</v>
      </c>
      <c r="L309" s="192"/>
      <c r="M309" s="250"/>
    </row>
    <row r="310" spans="1:13" s="196" customFormat="1" ht="13.5" customHeight="1" x14ac:dyDescent="0.3">
      <c r="A310" s="185" t="s">
        <v>1027</v>
      </c>
      <c r="B310" s="193" t="s">
        <v>35</v>
      </c>
      <c r="C310" s="187" t="s">
        <v>928</v>
      </c>
      <c r="D310" s="194" t="s">
        <v>552</v>
      </c>
      <c r="E310" s="190" t="s">
        <v>5</v>
      </c>
      <c r="F310" s="189"/>
      <c r="G310" s="186">
        <v>43539</v>
      </c>
      <c r="H310" s="195">
        <v>400</v>
      </c>
      <c r="I310" s="188">
        <v>615</v>
      </c>
      <c r="J310" s="188">
        <v>246000</v>
      </c>
      <c r="K310" s="191">
        <v>43539</v>
      </c>
      <c r="L310" s="192"/>
      <c r="M310" s="250"/>
    </row>
    <row r="311" spans="1:13" s="196" customFormat="1" ht="13.5" customHeight="1" x14ac:dyDescent="0.3">
      <c r="A311" s="185" t="s">
        <v>1033</v>
      </c>
      <c r="B311" s="193" t="s">
        <v>381</v>
      </c>
      <c r="C311" s="187" t="s">
        <v>928</v>
      </c>
      <c r="D311" s="194" t="s">
        <v>552</v>
      </c>
      <c r="E311" s="190" t="s">
        <v>5</v>
      </c>
      <c r="F311" s="189"/>
      <c r="G311" s="186">
        <v>43539</v>
      </c>
      <c r="H311" s="195">
        <v>1200</v>
      </c>
      <c r="I311" s="188">
        <v>142</v>
      </c>
      <c r="J311" s="188">
        <v>170400</v>
      </c>
      <c r="K311" s="191">
        <v>43539</v>
      </c>
      <c r="L311" s="192"/>
      <c r="M311" s="250"/>
    </row>
    <row r="312" spans="1:13" s="196" customFormat="1" ht="13.5" customHeight="1" x14ac:dyDescent="0.3">
      <c r="A312" s="185" t="s">
        <v>897</v>
      </c>
      <c r="B312" s="193" t="s">
        <v>789</v>
      </c>
      <c r="C312" s="187" t="s">
        <v>280</v>
      </c>
      <c r="D312" s="194" t="s">
        <v>903</v>
      </c>
      <c r="E312" s="190">
        <v>90</v>
      </c>
      <c r="F312" s="189" t="s">
        <v>20</v>
      </c>
      <c r="G312" s="186">
        <v>43536</v>
      </c>
      <c r="H312" s="195">
        <v>399</v>
      </c>
      <c r="I312" s="188">
        <v>145</v>
      </c>
      <c r="J312" s="188">
        <f t="shared" ref="J312:J330" si="4">+I312*H312</f>
        <v>57855</v>
      </c>
      <c r="K312" s="191">
        <v>43539</v>
      </c>
      <c r="L312" s="192"/>
      <c r="M312" s="250"/>
    </row>
    <row r="313" spans="1:13" s="196" customFormat="1" ht="13.5" customHeight="1" x14ac:dyDescent="0.3">
      <c r="A313" s="185" t="s">
        <v>910</v>
      </c>
      <c r="B313" s="193" t="s">
        <v>6</v>
      </c>
      <c r="C313" s="187" t="s">
        <v>7</v>
      </c>
      <c r="D313" s="109" t="s">
        <v>970</v>
      </c>
      <c r="E313" s="190">
        <v>120</v>
      </c>
      <c r="F313" s="189" t="s">
        <v>20</v>
      </c>
      <c r="G313" s="186">
        <v>43542</v>
      </c>
      <c r="H313" s="195">
        <v>250</v>
      </c>
      <c r="I313" s="188">
        <v>538</v>
      </c>
      <c r="J313" s="188">
        <f t="shared" si="4"/>
        <v>134500</v>
      </c>
      <c r="K313" s="191">
        <f>+G313</f>
        <v>43542</v>
      </c>
      <c r="L313" s="192" t="s">
        <v>1069</v>
      </c>
      <c r="M313" s="250"/>
    </row>
    <row r="314" spans="1:13" s="196" customFormat="1" ht="13.5" customHeight="1" x14ac:dyDescent="0.3">
      <c r="A314" s="185" t="s">
        <v>1022</v>
      </c>
      <c r="B314" s="193" t="s">
        <v>14</v>
      </c>
      <c r="C314" s="187" t="s">
        <v>928</v>
      </c>
      <c r="D314" s="109" t="s">
        <v>1070</v>
      </c>
      <c r="E314" s="190" t="s">
        <v>5</v>
      </c>
      <c r="F314" s="189"/>
      <c r="G314" s="186">
        <v>43543</v>
      </c>
      <c r="H314" s="195">
        <v>168</v>
      </c>
      <c r="I314" s="188">
        <v>858</v>
      </c>
      <c r="J314" s="188">
        <f t="shared" si="4"/>
        <v>144144</v>
      </c>
      <c r="K314" s="191">
        <v>43543</v>
      </c>
      <c r="L314" s="192" t="s">
        <v>1092</v>
      </c>
      <c r="M314" s="250"/>
    </row>
    <row r="315" spans="1:13" s="196" customFormat="1" ht="13.5" customHeight="1" x14ac:dyDescent="0.3">
      <c r="A315" s="185" t="s">
        <v>1023</v>
      </c>
      <c r="B315" s="193" t="s">
        <v>14</v>
      </c>
      <c r="C315" s="187" t="s">
        <v>928</v>
      </c>
      <c r="D315" s="109" t="s">
        <v>1068</v>
      </c>
      <c r="E315" s="190" t="s">
        <v>5</v>
      </c>
      <c r="F315" s="189"/>
      <c r="G315" s="186">
        <v>43543</v>
      </c>
      <c r="H315" s="195">
        <v>360</v>
      </c>
      <c r="I315" s="188">
        <v>868</v>
      </c>
      <c r="J315" s="188">
        <f t="shared" si="4"/>
        <v>312480</v>
      </c>
      <c r="K315" s="191">
        <v>43543</v>
      </c>
      <c r="L315" s="192"/>
      <c r="M315" s="250"/>
    </row>
    <row r="316" spans="1:13" s="196" customFormat="1" ht="13.5" customHeight="1" x14ac:dyDescent="0.3">
      <c r="A316" s="185" t="s">
        <v>892</v>
      </c>
      <c r="B316" s="193" t="s">
        <v>14</v>
      </c>
      <c r="C316" s="187" t="s">
        <v>15</v>
      </c>
      <c r="D316" s="109" t="s">
        <v>1071</v>
      </c>
      <c r="E316" s="190">
        <v>120</v>
      </c>
      <c r="F316" s="189" t="s">
        <v>20</v>
      </c>
      <c r="G316" s="186">
        <f>+K316+E316</f>
        <v>43669</v>
      </c>
      <c r="H316" s="195">
        <v>600</v>
      </c>
      <c r="I316" s="188">
        <v>880</v>
      </c>
      <c r="J316" s="188">
        <f t="shared" si="4"/>
        <v>528000</v>
      </c>
      <c r="K316" s="191">
        <v>43549</v>
      </c>
      <c r="L316" s="192"/>
      <c r="M316" s="250"/>
    </row>
    <row r="317" spans="1:13" s="196" customFormat="1" ht="13.5" customHeight="1" x14ac:dyDescent="0.3">
      <c r="A317" s="185" t="s">
        <v>893</v>
      </c>
      <c r="B317" s="193" t="s">
        <v>14</v>
      </c>
      <c r="C317" s="187" t="s">
        <v>15</v>
      </c>
      <c r="D317" s="109" t="s">
        <v>981</v>
      </c>
      <c r="E317" s="190">
        <v>120</v>
      </c>
      <c r="F317" s="189" t="s">
        <v>20</v>
      </c>
      <c r="G317" s="186">
        <f>+K317+E317</f>
        <v>43669</v>
      </c>
      <c r="H317" s="195">
        <v>600</v>
      </c>
      <c r="I317" s="188">
        <v>890</v>
      </c>
      <c r="J317" s="188">
        <f t="shared" si="4"/>
        <v>534000</v>
      </c>
      <c r="K317" s="191">
        <v>43549</v>
      </c>
      <c r="L317" s="192"/>
      <c r="M317" s="250"/>
    </row>
    <row r="318" spans="1:13" s="196" customFormat="1" ht="13.5" customHeight="1" x14ac:dyDescent="0.3">
      <c r="A318" s="185" t="s">
        <v>891</v>
      </c>
      <c r="B318" s="193" t="s">
        <v>889</v>
      </c>
      <c r="C318" s="187" t="s">
        <v>890</v>
      </c>
      <c r="D318" s="109" t="s">
        <v>980</v>
      </c>
      <c r="E318" s="190">
        <v>120</v>
      </c>
      <c r="F318" s="189" t="s">
        <v>20</v>
      </c>
      <c r="G318" s="186">
        <v>43552</v>
      </c>
      <c r="H318" s="195">
        <v>28.6</v>
      </c>
      <c r="I318" s="188">
        <v>335</v>
      </c>
      <c r="J318" s="188">
        <f t="shared" si="4"/>
        <v>9581</v>
      </c>
      <c r="K318" s="191">
        <v>43553</v>
      </c>
      <c r="L318" s="192"/>
      <c r="M318" s="250"/>
    </row>
    <row r="319" spans="1:13" s="196" customFormat="1" ht="13.5" customHeight="1" x14ac:dyDescent="0.25">
      <c r="A319" s="185" t="s">
        <v>1059</v>
      </c>
      <c r="B319" s="193" t="s">
        <v>359</v>
      </c>
      <c r="C319" s="187" t="s">
        <v>7</v>
      </c>
      <c r="D319" s="109" t="s">
        <v>1109</v>
      </c>
      <c r="E319" s="190" t="s">
        <v>5</v>
      </c>
      <c r="F319" s="189"/>
      <c r="G319" s="186">
        <v>43556</v>
      </c>
      <c r="H319" s="195">
        <v>540</v>
      </c>
      <c r="I319" s="188">
        <v>765</v>
      </c>
      <c r="J319" s="188">
        <f t="shared" si="4"/>
        <v>413100</v>
      </c>
      <c r="K319" s="191">
        <v>43557</v>
      </c>
      <c r="L319" s="192"/>
      <c r="M319" s="250"/>
    </row>
    <row r="320" spans="1:13" s="196" customFormat="1" ht="13.5" customHeight="1" x14ac:dyDescent="0.25">
      <c r="A320" s="185" t="s">
        <v>1060</v>
      </c>
      <c r="B320" s="193" t="s">
        <v>359</v>
      </c>
      <c r="C320" s="187" t="s">
        <v>7</v>
      </c>
      <c r="D320" s="109" t="s">
        <v>1110</v>
      </c>
      <c r="E320" s="190" t="s">
        <v>5</v>
      </c>
      <c r="F320" s="189"/>
      <c r="G320" s="186">
        <v>43556</v>
      </c>
      <c r="H320" s="195">
        <v>756</v>
      </c>
      <c r="I320" s="188">
        <v>775</v>
      </c>
      <c r="J320" s="188">
        <f t="shared" si="4"/>
        <v>585900</v>
      </c>
      <c r="K320" s="191">
        <v>43557</v>
      </c>
      <c r="L320" s="192"/>
      <c r="M320" s="250"/>
    </row>
    <row r="321" spans="1:13" s="196" customFormat="1" ht="13.5" customHeight="1" x14ac:dyDescent="0.3">
      <c r="A321" s="185" t="s">
        <v>936</v>
      </c>
      <c r="B321" s="193" t="s">
        <v>14</v>
      </c>
      <c r="C321" s="187" t="s">
        <v>934</v>
      </c>
      <c r="D321" s="109" t="s">
        <v>998</v>
      </c>
      <c r="E321" s="190">
        <v>90</v>
      </c>
      <c r="F321" s="189" t="s">
        <v>20</v>
      </c>
      <c r="G321" s="186">
        <v>43556</v>
      </c>
      <c r="H321" s="195">
        <v>159.6</v>
      </c>
      <c r="I321" s="188">
        <v>921</v>
      </c>
      <c r="J321" s="188">
        <f t="shared" si="4"/>
        <v>146991.6</v>
      </c>
      <c r="K321" s="191">
        <v>43557</v>
      </c>
      <c r="L321" s="192"/>
      <c r="M321" s="250"/>
    </row>
    <row r="322" spans="1:13" s="199" customFormat="1" ht="13.5" customHeight="1" x14ac:dyDescent="0.3">
      <c r="A322" s="185" t="s">
        <v>935</v>
      </c>
      <c r="B322" s="197" t="s">
        <v>14</v>
      </c>
      <c r="C322" s="187" t="s">
        <v>934</v>
      </c>
      <c r="D322" s="109" t="s">
        <v>997</v>
      </c>
      <c r="E322" s="190">
        <v>90</v>
      </c>
      <c r="F322" s="189" t="s">
        <v>20</v>
      </c>
      <c r="G322" s="186">
        <v>43564</v>
      </c>
      <c r="H322" s="198">
        <v>505.4</v>
      </c>
      <c r="I322" s="188">
        <v>877</v>
      </c>
      <c r="J322" s="188">
        <f t="shared" si="4"/>
        <v>443235.8</v>
      </c>
      <c r="K322" s="191">
        <v>43564</v>
      </c>
      <c r="L322" s="192"/>
      <c r="M322" s="250"/>
    </row>
    <row r="323" spans="1:13" s="199" customFormat="1" ht="13.5" customHeight="1" x14ac:dyDescent="0.25">
      <c r="A323" s="185" t="s">
        <v>1136</v>
      </c>
      <c r="B323" s="197" t="s">
        <v>687</v>
      </c>
      <c r="C323" s="187" t="s">
        <v>7</v>
      </c>
      <c r="D323" s="109" t="s">
        <v>1138</v>
      </c>
      <c r="E323" s="190" t="s">
        <v>5</v>
      </c>
      <c r="F323" s="189"/>
      <c r="G323" s="186">
        <v>43564</v>
      </c>
      <c r="H323" s="198">
        <v>514.79999999999995</v>
      </c>
      <c r="I323" s="188">
        <v>160</v>
      </c>
      <c r="J323" s="188">
        <f t="shared" si="4"/>
        <v>82368</v>
      </c>
      <c r="K323" s="191">
        <v>43564</v>
      </c>
      <c r="L323" s="192"/>
      <c r="M323" s="250"/>
    </row>
    <row r="324" spans="1:13" s="199" customFormat="1" ht="13.5" customHeight="1" x14ac:dyDescent="0.25">
      <c r="A324" s="185" t="s">
        <v>1137</v>
      </c>
      <c r="B324" s="197" t="s">
        <v>687</v>
      </c>
      <c r="C324" s="187" t="s">
        <v>7</v>
      </c>
      <c r="D324" s="109" t="s">
        <v>1139</v>
      </c>
      <c r="E324" s="190" t="s">
        <v>5</v>
      </c>
      <c r="F324" s="189"/>
      <c r="G324" s="186">
        <v>43564</v>
      </c>
      <c r="H324" s="198">
        <v>486.2</v>
      </c>
      <c r="I324" s="188">
        <v>160</v>
      </c>
      <c r="J324" s="188">
        <f t="shared" si="4"/>
        <v>77792</v>
      </c>
      <c r="K324" s="191">
        <v>43564</v>
      </c>
      <c r="L324" s="192"/>
      <c r="M324" s="250"/>
    </row>
    <row r="325" spans="1:13" s="199" customFormat="1" ht="13.5" customHeight="1" x14ac:dyDescent="0.3">
      <c r="A325" s="185" t="s">
        <v>950</v>
      </c>
      <c r="B325" s="197" t="s">
        <v>359</v>
      </c>
      <c r="C325" s="187" t="s">
        <v>7</v>
      </c>
      <c r="D325" s="109" t="s">
        <v>1047</v>
      </c>
      <c r="E325" s="190">
        <v>90</v>
      </c>
      <c r="F325" s="189" t="s">
        <v>20</v>
      </c>
      <c r="G325" s="186">
        <v>43566</v>
      </c>
      <c r="H325" s="198">
        <v>540</v>
      </c>
      <c r="I325" s="188">
        <v>774</v>
      </c>
      <c r="J325" s="188">
        <f t="shared" si="4"/>
        <v>417960</v>
      </c>
      <c r="K325" s="191">
        <v>43566</v>
      </c>
      <c r="L325" s="192" t="s">
        <v>499</v>
      </c>
      <c r="M325" s="250"/>
    </row>
    <row r="326" spans="1:13" s="199" customFormat="1" ht="13.5" customHeight="1" x14ac:dyDescent="0.3">
      <c r="A326" s="185" t="s">
        <v>951</v>
      </c>
      <c r="B326" s="197" t="s">
        <v>359</v>
      </c>
      <c r="C326" s="187" t="s">
        <v>7</v>
      </c>
      <c r="D326" s="109" t="s">
        <v>1048</v>
      </c>
      <c r="E326" s="190">
        <v>90</v>
      </c>
      <c r="F326" s="189" t="s">
        <v>20</v>
      </c>
      <c r="G326" s="186">
        <v>43566</v>
      </c>
      <c r="H326" s="198">
        <v>540</v>
      </c>
      <c r="I326" s="188">
        <v>784</v>
      </c>
      <c r="J326" s="188">
        <f t="shared" si="4"/>
        <v>423360</v>
      </c>
      <c r="K326" s="191">
        <v>43566</v>
      </c>
      <c r="L326" s="192" t="s">
        <v>499</v>
      </c>
      <c r="M326" s="250"/>
    </row>
    <row r="327" spans="1:13" s="199" customFormat="1" ht="13.5" customHeight="1" x14ac:dyDescent="0.25">
      <c r="A327" s="185" t="s">
        <v>1049</v>
      </c>
      <c r="B327" s="197" t="s">
        <v>32</v>
      </c>
      <c r="C327" s="187" t="s">
        <v>50</v>
      </c>
      <c r="D327" s="109" t="s">
        <v>456</v>
      </c>
      <c r="E327" s="190" t="s">
        <v>5</v>
      </c>
      <c r="F327" s="189"/>
      <c r="G327" s="186">
        <v>43565</v>
      </c>
      <c r="H327" s="198">
        <v>4100</v>
      </c>
      <c r="I327" s="188">
        <v>279</v>
      </c>
      <c r="J327" s="188">
        <f t="shared" si="4"/>
        <v>1143900</v>
      </c>
      <c r="K327" s="191">
        <v>43565</v>
      </c>
      <c r="L327" s="192"/>
      <c r="M327" s="250"/>
    </row>
    <row r="328" spans="1:13" s="199" customFormat="1" ht="13.5" customHeight="1" x14ac:dyDescent="0.25">
      <c r="A328" s="185" t="s">
        <v>1050</v>
      </c>
      <c r="B328" s="197" t="s">
        <v>33</v>
      </c>
      <c r="C328" s="187" t="s">
        <v>50</v>
      </c>
      <c r="D328" s="109" t="s">
        <v>456</v>
      </c>
      <c r="E328" s="190" t="s">
        <v>5</v>
      </c>
      <c r="F328" s="189"/>
      <c r="G328" s="186">
        <v>43565</v>
      </c>
      <c r="H328" s="198">
        <v>3300</v>
      </c>
      <c r="I328" s="188">
        <v>291</v>
      </c>
      <c r="J328" s="188">
        <f t="shared" si="4"/>
        <v>960300</v>
      </c>
      <c r="K328" s="191">
        <v>43565</v>
      </c>
      <c r="L328" s="192"/>
      <c r="M328" s="250"/>
    </row>
    <row r="329" spans="1:13" s="199" customFormat="1" ht="13.5" customHeight="1" x14ac:dyDescent="0.25">
      <c r="A329" s="185" t="s">
        <v>1051</v>
      </c>
      <c r="B329" s="197" t="s">
        <v>243</v>
      </c>
      <c r="C329" s="187" t="s">
        <v>50</v>
      </c>
      <c r="D329" s="109" t="s">
        <v>456</v>
      </c>
      <c r="E329" s="190" t="s">
        <v>5</v>
      </c>
      <c r="F329" s="189"/>
      <c r="G329" s="186">
        <v>43565</v>
      </c>
      <c r="H329" s="198">
        <v>2000</v>
      </c>
      <c r="I329" s="188">
        <v>237</v>
      </c>
      <c r="J329" s="188">
        <f t="shared" si="4"/>
        <v>474000</v>
      </c>
      <c r="K329" s="191">
        <v>43565</v>
      </c>
      <c r="L329" s="192"/>
      <c r="M329" s="250"/>
    </row>
    <row r="330" spans="1:13" s="199" customFormat="1" ht="13.5" customHeight="1" x14ac:dyDescent="0.3">
      <c r="A330" s="185" t="s">
        <v>973</v>
      </c>
      <c r="B330" s="197" t="s">
        <v>360</v>
      </c>
      <c r="C330" s="187" t="s">
        <v>361</v>
      </c>
      <c r="D330" s="109" t="s">
        <v>977</v>
      </c>
      <c r="E330" s="190">
        <v>150</v>
      </c>
      <c r="F330" s="189" t="s">
        <v>20</v>
      </c>
      <c r="G330" s="186">
        <v>43570</v>
      </c>
      <c r="H330" s="198">
        <v>49</v>
      </c>
      <c r="I330" s="188">
        <v>1290</v>
      </c>
      <c r="J330" s="188">
        <f t="shared" si="4"/>
        <v>63210</v>
      </c>
      <c r="K330" s="191">
        <v>43572</v>
      </c>
      <c r="L330" s="192"/>
      <c r="M330" s="250"/>
    </row>
    <row r="331" spans="1:13" s="199" customFormat="1" ht="13.5" customHeight="1" x14ac:dyDescent="0.3">
      <c r="A331" s="185" t="s">
        <v>1010</v>
      </c>
      <c r="B331" s="197" t="s">
        <v>359</v>
      </c>
      <c r="C331" s="187" t="s">
        <v>840</v>
      </c>
      <c r="D331" s="109" t="s">
        <v>968</v>
      </c>
      <c r="E331" s="190">
        <v>180</v>
      </c>
      <c r="F331" s="189" t="s">
        <v>20</v>
      </c>
      <c r="G331" s="186">
        <v>43578</v>
      </c>
      <c r="H331" s="198">
        <v>513</v>
      </c>
      <c r="I331" s="188">
        <v>796</v>
      </c>
      <c r="J331" s="188">
        <v>408348</v>
      </c>
      <c r="K331" s="191">
        <v>43578</v>
      </c>
      <c r="L331" s="192"/>
      <c r="M331" s="250"/>
    </row>
    <row r="332" spans="1:13" s="199" customFormat="1" ht="13.5" customHeight="1" x14ac:dyDescent="0.25">
      <c r="A332" s="185" t="s">
        <v>1093</v>
      </c>
      <c r="B332" s="197" t="s">
        <v>6</v>
      </c>
      <c r="C332" s="187" t="s">
        <v>7</v>
      </c>
      <c r="D332" s="109" t="s">
        <v>1142</v>
      </c>
      <c r="E332" s="190" t="s">
        <v>5</v>
      </c>
      <c r="F332" s="189"/>
      <c r="G332" s="186">
        <v>43578</v>
      </c>
      <c r="H332" s="198">
        <v>500</v>
      </c>
      <c r="I332" s="188">
        <v>528.5</v>
      </c>
      <c r="J332" s="188">
        <v>264250</v>
      </c>
      <c r="K332" s="191">
        <v>43578</v>
      </c>
      <c r="L332" s="192"/>
      <c r="M332" s="250"/>
    </row>
    <row r="333" spans="1:13" s="199" customFormat="1" ht="13.5" customHeight="1" x14ac:dyDescent="0.3">
      <c r="A333" s="185" t="s">
        <v>1081</v>
      </c>
      <c r="B333" s="197" t="s">
        <v>35</v>
      </c>
      <c r="C333" s="187" t="s">
        <v>928</v>
      </c>
      <c r="D333" s="109" t="s">
        <v>1141</v>
      </c>
      <c r="E333" s="190" t="s">
        <v>5</v>
      </c>
      <c r="F333" s="189"/>
      <c r="G333" s="186">
        <v>43578</v>
      </c>
      <c r="H333" s="198">
        <v>60</v>
      </c>
      <c r="I333" s="188">
        <v>945</v>
      </c>
      <c r="J333" s="188">
        <v>56700</v>
      </c>
      <c r="K333" s="191">
        <v>43578</v>
      </c>
      <c r="L333" s="192"/>
      <c r="M333" s="250"/>
    </row>
    <row r="334" spans="1:13" s="200" customFormat="1" ht="13.5" customHeight="1" x14ac:dyDescent="0.25">
      <c r="A334" s="185" t="s">
        <v>1105</v>
      </c>
      <c r="B334" s="201" t="s">
        <v>359</v>
      </c>
      <c r="C334" s="187" t="s">
        <v>7</v>
      </c>
      <c r="D334" s="203" t="s">
        <v>1145</v>
      </c>
      <c r="E334" s="190" t="s">
        <v>5</v>
      </c>
      <c r="F334" s="205"/>
      <c r="G334" s="206">
        <v>43581</v>
      </c>
      <c r="H334" s="202">
        <v>162</v>
      </c>
      <c r="I334" s="188">
        <v>788</v>
      </c>
      <c r="J334" s="188">
        <v>127656</v>
      </c>
      <c r="K334" s="204">
        <v>43580</v>
      </c>
      <c r="L334" s="192"/>
      <c r="M334" s="250"/>
    </row>
    <row r="335" spans="1:13" s="200" customFormat="1" ht="13.5" customHeight="1" x14ac:dyDescent="0.3">
      <c r="A335" s="185" t="s">
        <v>932</v>
      </c>
      <c r="B335" s="201" t="s">
        <v>4</v>
      </c>
      <c r="C335" s="187" t="s">
        <v>245</v>
      </c>
      <c r="D335" s="203" t="s">
        <v>1014</v>
      </c>
      <c r="E335" s="190">
        <v>90</v>
      </c>
      <c r="F335" s="205" t="s">
        <v>20</v>
      </c>
      <c r="G335" s="206">
        <v>43579</v>
      </c>
      <c r="H335" s="202">
        <v>195.964</v>
      </c>
      <c r="I335" s="188">
        <v>550</v>
      </c>
      <c r="J335" s="188">
        <f>+I335*H335</f>
        <v>107780.2</v>
      </c>
      <c r="K335" s="204">
        <v>43580</v>
      </c>
      <c r="L335" s="192"/>
      <c r="M335" s="250"/>
    </row>
    <row r="336" spans="1:13" s="200" customFormat="1" ht="13.5" customHeight="1" x14ac:dyDescent="0.3">
      <c r="A336" s="185" t="s">
        <v>877</v>
      </c>
      <c r="B336" s="201" t="s">
        <v>359</v>
      </c>
      <c r="C336" s="187" t="s">
        <v>840</v>
      </c>
      <c r="D336" s="203" t="s">
        <v>972</v>
      </c>
      <c r="E336" s="190">
        <v>180</v>
      </c>
      <c r="F336" s="205" t="s">
        <v>20</v>
      </c>
      <c r="G336" s="206">
        <v>43580</v>
      </c>
      <c r="H336" s="202">
        <v>81</v>
      </c>
      <c r="I336" s="188">
        <v>796</v>
      </c>
      <c r="J336" s="188">
        <f>+I336*H336</f>
        <v>64476</v>
      </c>
      <c r="K336" s="204">
        <v>43581</v>
      </c>
      <c r="L336" s="192"/>
      <c r="M336" s="250"/>
    </row>
    <row r="337" spans="1:13" s="200" customFormat="1" ht="13.5" customHeight="1" x14ac:dyDescent="0.3">
      <c r="A337" s="185" t="s">
        <v>933</v>
      </c>
      <c r="B337" s="201" t="s">
        <v>14</v>
      </c>
      <c r="C337" s="187" t="s">
        <v>934</v>
      </c>
      <c r="D337" s="203" t="s">
        <v>996</v>
      </c>
      <c r="E337" s="190">
        <v>90</v>
      </c>
      <c r="F337" s="205" t="s">
        <v>20</v>
      </c>
      <c r="G337" s="206">
        <v>43580</v>
      </c>
      <c r="H337" s="202">
        <v>505.4</v>
      </c>
      <c r="I337" s="188">
        <v>874</v>
      </c>
      <c r="J337" s="188">
        <f>+I337*H337</f>
        <v>441719.6</v>
      </c>
      <c r="K337" s="204">
        <v>43581</v>
      </c>
      <c r="L337" s="192"/>
      <c r="M337" s="250"/>
    </row>
    <row r="338" spans="1:13" s="200" customFormat="1" ht="13.5" customHeight="1" x14ac:dyDescent="0.25">
      <c r="A338" s="185" t="s">
        <v>1056</v>
      </c>
      <c r="B338" s="201" t="s">
        <v>687</v>
      </c>
      <c r="C338" s="187" t="s">
        <v>7</v>
      </c>
      <c r="D338" s="203" t="s">
        <v>1146</v>
      </c>
      <c r="E338" s="190" t="s">
        <v>5</v>
      </c>
      <c r="F338" s="205"/>
      <c r="G338" s="206">
        <v>43580</v>
      </c>
      <c r="H338" s="202">
        <v>1759.5</v>
      </c>
      <c r="I338" s="188">
        <v>140</v>
      </c>
      <c r="J338" s="188">
        <v>246330</v>
      </c>
      <c r="K338" s="204">
        <v>43581</v>
      </c>
      <c r="L338" s="192"/>
      <c r="M338" s="250"/>
    </row>
    <row r="339" spans="1:13" s="200" customFormat="1" ht="13.5" customHeight="1" x14ac:dyDescent="0.25">
      <c r="A339" s="185" t="s">
        <v>1058</v>
      </c>
      <c r="B339" s="201" t="s">
        <v>6</v>
      </c>
      <c r="C339" s="187" t="s">
        <v>7</v>
      </c>
      <c r="D339" s="203" t="s">
        <v>1143</v>
      </c>
      <c r="E339" s="190" t="s">
        <v>5</v>
      </c>
      <c r="F339" s="205"/>
      <c r="G339" s="206">
        <v>43580</v>
      </c>
      <c r="H339" s="202">
        <v>400</v>
      </c>
      <c r="I339" s="188">
        <v>523.5</v>
      </c>
      <c r="J339" s="188">
        <v>209400</v>
      </c>
      <c r="K339" s="204">
        <v>43581</v>
      </c>
      <c r="L339" s="192"/>
      <c r="M339" s="250"/>
    </row>
    <row r="340" spans="1:13" s="200" customFormat="1" ht="13.5" customHeight="1" x14ac:dyDescent="0.25">
      <c r="A340" s="185" t="s">
        <v>1140</v>
      </c>
      <c r="B340" s="201" t="s">
        <v>687</v>
      </c>
      <c r="C340" s="187" t="s">
        <v>7</v>
      </c>
      <c r="D340" s="203" t="s">
        <v>1147</v>
      </c>
      <c r="E340" s="190" t="s">
        <v>5</v>
      </c>
      <c r="F340" s="205"/>
      <c r="G340" s="206">
        <v>43581</v>
      </c>
      <c r="H340" s="202">
        <v>858</v>
      </c>
      <c r="I340" s="188">
        <v>160</v>
      </c>
      <c r="J340" s="188">
        <v>137280</v>
      </c>
      <c r="K340" s="204">
        <v>43581</v>
      </c>
      <c r="L340" s="192"/>
      <c r="M340" s="250"/>
    </row>
    <row r="341" spans="1:13" s="200" customFormat="1" ht="13.5" customHeight="1" x14ac:dyDescent="0.25">
      <c r="A341" s="185" t="s">
        <v>1104</v>
      </c>
      <c r="B341" s="201" t="s">
        <v>10</v>
      </c>
      <c r="C341" s="187" t="s">
        <v>7</v>
      </c>
      <c r="D341" s="203" t="s">
        <v>1144</v>
      </c>
      <c r="E341" s="190" t="s">
        <v>5</v>
      </c>
      <c r="F341" s="205"/>
      <c r="G341" s="206">
        <v>43581</v>
      </c>
      <c r="H341" s="202">
        <v>212.5</v>
      </c>
      <c r="I341" s="188">
        <v>269</v>
      </c>
      <c r="J341" s="188">
        <v>57162.5</v>
      </c>
      <c r="K341" s="204">
        <v>43581</v>
      </c>
      <c r="L341" s="192"/>
      <c r="M341" s="250"/>
    </row>
    <row r="342" spans="1:13" s="207" customFormat="1" ht="13.5" customHeight="1" x14ac:dyDescent="0.3">
      <c r="A342" s="185" t="s">
        <v>1065</v>
      </c>
      <c r="B342" s="208" t="s">
        <v>922</v>
      </c>
      <c r="C342" s="187" t="s">
        <v>664</v>
      </c>
      <c r="D342" s="203" t="s">
        <v>1127</v>
      </c>
      <c r="E342" s="190">
        <v>30</v>
      </c>
      <c r="F342" s="205" t="s">
        <v>20</v>
      </c>
      <c r="G342" s="206">
        <f>+E342+K342</f>
        <v>43614</v>
      </c>
      <c r="H342" s="209">
        <v>52</v>
      </c>
      <c r="I342" s="188">
        <v>280</v>
      </c>
      <c r="J342" s="188">
        <f>+I342*H342</f>
        <v>14560</v>
      </c>
      <c r="K342" s="204">
        <v>43584</v>
      </c>
      <c r="L342" s="192"/>
      <c r="M342" s="250"/>
    </row>
    <row r="343" spans="1:13" s="207" customFormat="1" ht="13.5" customHeight="1" x14ac:dyDescent="0.25">
      <c r="A343" s="185" t="s">
        <v>1126</v>
      </c>
      <c r="B343" s="208" t="s">
        <v>10</v>
      </c>
      <c r="C343" s="187" t="s">
        <v>7</v>
      </c>
      <c r="D343" s="203" t="s">
        <v>1148</v>
      </c>
      <c r="E343" s="190" t="s">
        <v>5</v>
      </c>
      <c r="F343" s="205"/>
      <c r="G343" s="206">
        <v>43584</v>
      </c>
      <c r="H343" s="209">
        <v>1176</v>
      </c>
      <c r="I343" s="188">
        <v>247</v>
      </c>
      <c r="J343" s="188">
        <f>+I343*H343</f>
        <v>290472</v>
      </c>
      <c r="K343" s="204">
        <v>43584</v>
      </c>
      <c r="L343" s="192"/>
      <c r="M343" s="250"/>
    </row>
    <row r="344" spans="1:13" s="207" customFormat="1" ht="13.5" customHeight="1" x14ac:dyDescent="0.25">
      <c r="A344" s="185" t="s">
        <v>1057</v>
      </c>
      <c r="B344" s="208" t="s">
        <v>10</v>
      </c>
      <c r="C344" s="187" t="s">
        <v>7</v>
      </c>
      <c r="D344" s="203" t="s">
        <v>1149</v>
      </c>
      <c r="E344" s="190" t="s">
        <v>5</v>
      </c>
      <c r="F344" s="205"/>
      <c r="G344" s="206">
        <v>43584</v>
      </c>
      <c r="H344" s="209">
        <v>448</v>
      </c>
      <c r="I344" s="188">
        <v>252</v>
      </c>
      <c r="J344" s="188">
        <f>+I344*H344</f>
        <v>112896</v>
      </c>
      <c r="K344" s="204">
        <v>43584</v>
      </c>
      <c r="L344" s="192"/>
      <c r="M344" s="250"/>
    </row>
    <row r="345" spans="1:13" s="207" customFormat="1" ht="13.5" customHeight="1" x14ac:dyDescent="0.3">
      <c r="A345" s="185" t="s">
        <v>1130</v>
      </c>
      <c r="B345" s="208" t="s">
        <v>381</v>
      </c>
      <c r="C345" s="187" t="s">
        <v>46</v>
      </c>
      <c r="D345" s="203" t="s">
        <v>552</v>
      </c>
      <c r="E345" s="190" t="s">
        <v>5</v>
      </c>
      <c r="F345" s="205"/>
      <c r="G345" s="206">
        <v>43587</v>
      </c>
      <c r="H345" s="209">
        <v>6390</v>
      </c>
      <c r="I345" s="188">
        <v>147</v>
      </c>
      <c r="J345" s="188">
        <f>+I345*H345</f>
        <v>939330</v>
      </c>
      <c r="K345" s="204">
        <v>43587</v>
      </c>
      <c r="L345" s="192"/>
      <c r="M345" s="250"/>
    </row>
    <row r="346" spans="1:13" s="207" customFormat="1" ht="13.5" customHeight="1" x14ac:dyDescent="0.3">
      <c r="A346" s="185" t="s">
        <v>1131</v>
      </c>
      <c r="B346" s="208" t="s">
        <v>8</v>
      </c>
      <c r="C346" s="187" t="s">
        <v>46</v>
      </c>
      <c r="D346" s="203" t="s">
        <v>552</v>
      </c>
      <c r="E346" s="190" t="s">
        <v>5</v>
      </c>
      <c r="F346" s="205"/>
      <c r="G346" s="206">
        <v>43587</v>
      </c>
      <c r="H346" s="209">
        <v>4500</v>
      </c>
      <c r="I346" s="188">
        <v>420</v>
      </c>
      <c r="J346" s="188">
        <f>+I346*H346</f>
        <v>1890000</v>
      </c>
      <c r="K346" s="204">
        <v>43587</v>
      </c>
      <c r="L346" s="192"/>
      <c r="M346" s="250"/>
    </row>
    <row r="347" spans="1:13" s="207" customFormat="1" ht="13.5" customHeight="1" x14ac:dyDescent="0.25">
      <c r="A347" s="185" t="s">
        <v>1151</v>
      </c>
      <c r="B347" s="208" t="s">
        <v>687</v>
      </c>
      <c r="C347" s="187" t="s">
        <v>7</v>
      </c>
      <c r="D347" s="203" t="s">
        <v>1152</v>
      </c>
      <c r="E347" s="190" t="s">
        <v>5</v>
      </c>
      <c r="F347" s="205"/>
      <c r="G347" s="206">
        <v>43587</v>
      </c>
      <c r="H347" s="209">
        <v>114.4</v>
      </c>
      <c r="I347" s="188">
        <v>160</v>
      </c>
      <c r="J347" s="188">
        <v>18304</v>
      </c>
      <c r="K347" s="204">
        <v>43591</v>
      </c>
      <c r="L347" s="192"/>
      <c r="M347" s="250"/>
    </row>
    <row r="348" spans="1:13" s="207" customFormat="1" ht="13.5" customHeight="1" x14ac:dyDescent="0.25">
      <c r="A348" s="185" t="s">
        <v>1103</v>
      </c>
      <c r="B348" s="208" t="s">
        <v>11</v>
      </c>
      <c r="C348" s="187" t="s">
        <v>7</v>
      </c>
      <c r="D348" s="203" t="s">
        <v>1150</v>
      </c>
      <c r="E348" s="190" t="s">
        <v>5</v>
      </c>
      <c r="F348" s="205"/>
      <c r="G348" s="206">
        <v>43588</v>
      </c>
      <c r="H348" s="209">
        <v>110</v>
      </c>
      <c r="I348" s="188">
        <v>304</v>
      </c>
      <c r="J348" s="188">
        <v>33440</v>
      </c>
      <c r="K348" s="204">
        <v>43591</v>
      </c>
      <c r="L348" s="192"/>
      <c r="M348" s="250"/>
    </row>
    <row r="349" spans="1:13" s="207" customFormat="1" ht="13.5" customHeight="1" x14ac:dyDescent="0.3">
      <c r="A349" s="185" t="s">
        <v>925</v>
      </c>
      <c r="B349" s="208" t="s">
        <v>926</v>
      </c>
      <c r="C349" s="187" t="s">
        <v>361</v>
      </c>
      <c r="D349" s="203" t="s">
        <v>995</v>
      </c>
      <c r="E349" s="190">
        <v>120</v>
      </c>
      <c r="F349" s="205" t="s">
        <v>20</v>
      </c>
      <c r="G349" s="206">
        <f>+K349+E349</f>
        <v>43587</v>
      </c>
      <c r="H349" s="209">
        <v>48</v>
      </c>
      <c r="I349" s="188">
        <v>1180</v>
      </c>
      <c r="J349" s="188">
        <f t="shared" ref="J349:J374" si="5">+I349*H349</f>
        <v>56640</v>
      </c>
      <c r="K349" s="204">
        <v>43467</v>
      </c>
      <c r="L349" s="192"/>
      <c r="M349" s="250"/>
    </row>
    <row r="350" spans="1:13" s="212" customFormat="1" ht="13.5" customHeight="1" x14ac:dyDescent="0.3">
      <c r="A350" s="185" t="s">
        <v>937</v>
      </c>
      <c r="B350" s="210" t="s">
        <v>359</v>
      </c>
      <c r="C350" s="187" t="s">
        <v>245</v>
      </c>
      <c r="D350" s="203" t="s">
        <v>1046</v>
      </c>
      <c r="E350" s="190">
        <v>90</v>
      </c>
      <c r="F350" s="205" t="s">
        <v>20</v>
      </c>
      <c r="G350" s="206">
        <v>43595</v>
      </c>
      <c r="H350" s="211">
        <v>72</v>
      </c>
      <c r="I350" s="188">
        <v>810</v>
      </c>
      <c r="J350" s="188">
        <f t="shared" si="5"/>
        <v>58320</v>
      </c>
      <c r="K350" s="204">
        <v>43594</v>
      </c>
      <c r="L350" s="192"/>
      <c r="M350" s="250"/>
    </row>
    <row r="351" spans="1:13" s="212" customFormat="1" ht="13.5" customHeight="1" x14ac:dyDescent="0.3">
      <c r="A351" s="185" t="s">
        <v>1066</v>
      </c>
      <c r="B351" s="210" t="s">
        <v>922</v>
      </c>
      <c r="C351" s="187" t="s">
        <v>664</v>
      </c>
      <c r="D351" s="203" t="s">
        <v>1128</v>
      </c>
      <c r="E351" s="190">
        <v>30</v>
      </c>
      <c r="F351" s="205" t="s">
        <v>20</v>
      </c>
      <c r="G351" s="206">
        <v>43588</v>
      </c>
      <c r="H351" s="211">
        <v>52</v>
      </c>
      <c r="I351" s="188">
        <v>286</v>
      </c>
      <c r="J351" s="188">
        <f t="shared" si="5"/>
        <v>14872</v>
      </c>
      <c r="K351" s="204">
        <v>43594</v>
      </c>
      <c r="L351" s="192"/>
      <c r="M351" s="250"/>
    </row>
    <row r="352" spans="1:13" s="212" customFormat="1" ht="13.5" customHeight="1" x14ac:dyDescent="0.25">
      <c r="A352" s="185" t="s">
        <v>1094</v>
      </c>
      <c r="B352" s="210" t="s">
        <v>6</v>
      </c>
      <c r="C352" s="187" t="s">
        <v>7</v>
      </c>
      <c r="D352" s="203" t="s">
        <v>1163</v>
      </c>
      <c r="E352" s="190" t="s">
        <v>5</v>
      </c>
      <c r="F352" s="205"/>
      <c r="G352" s="206">
        <v>43591</v>
      </c>
      <c r="H352" s="211">
        <v>500</v>
      </c>
      <c r="I352" s="188">
        <v>528.5</v>
      </c>
      <c r="J352" s="188">
        <f t="shared" si="5"/>
        <v>264250</v>
      </c>
      <c r="K352" s="204">
        <v>43598</v>
      </c>
      <c r="L352" s="192"/>
      <c r="M352" s="250"/>
    </row>
    <row r="353" spans="1:13" s="212" customFormat="1" ht="13.5" customHeight="1" x14ac:dyDescent="0.25">
      <c r="A353" s="185" t="s">
        <v>1162</v>
      </c>
      <c r="B353" s="210" t="s">
        <v>6</v>
      </c>
      <c r="C353" s="187" t="s">
        <v>7</v>
      </c>
      <c r="D353" s="203" t="s">
        <v>1164</v>
      </c>
      <c r="E353" s="190" t="s">
        <v>5</v>
      </c>
      <c r="F353" s="205"/>
      <c r="G353" s="206">
        <v>43592</v>
      </c>
      <c r="H353" s="211">
        <v>450</v>
      </c>
      <c r="I353" s="188">
        <v>528.5</v>
      </c>
      <c r="J353" s="188">
        <f t="shared" si="5"/>
        <v>237825</v>
      </c>
      <c r="K353" s="204">
        <v>43598</v>
      </c>
      <c r="L353" s="192"/>
      <c r="M353" s="250"/>
    </row>
    <row r="354" spans="1:13" s="212" customFormat="1" ht="13.5" customHeight="1" x14ac:dyDescent="0.25">
      <c r="A354" s="185" t="s">
        <v>1161</v>
      </c>
      <c r="B354" s="210" t="s">
        <v>6</v>
      </c>
      <c r="C354" s="187" t="s">
        <v>7</v>
      </c>
      <c r="D354" s="203" t="s">
        <v>1165</v>
      </c>
      <c r="E354" s="190" t="s">
        <v>5</v>
      </c>
      <c r="F354" s="205"/>
      <c r="G354" s="206">
        <v>43592</v>
      </c>
      <c r="H354" s="211">
        <v>850</v>
      </c>
      <c r="I354" s="188">
        <v>528.5</v>
      </c>
      <c r="J354" s="188">
        <f t="shared" si="5"/>
        <v>449225</v>
      </c>
      <c r="K354" s="204">
        <v>43598</v>
      </c>
      <c r="L354" s="192"/>
      <c r="M354" s="250"/>
    </row>
    <row r="355" spans="1:13" s="212" customFormat="1" ht="13.5" customHeight="1" x14ac:dyDescent="0.3">
      <c r="A355" s="185" t="s">
        <v>1034</v>
      </c>
      <c r="B355" s="210" t="s">
        <v>28</v>
      </c>
      <c r="C355" s="187" t="s">
        <v>17</v>
      </c>
      <c r="D355" s="203" t="s">
        <v>1122</v>
      </c>
      <c r="E355" s="190">
        <v>60</v>
      </c>
      <c r="F355" s="205" t="s">
        <v>20</v>
      </c>
      <c r="G355" s="206">
        <v>43594</v>
      </c>
      <c r="H355" s="211">
        <v>504</v>
      </c>
      <c r="I355" s="188">
        <v>257</v>
      </c>
      <c r="J355" s="188">
        <f t="shared" si="5"/>
        <v>129528</v>
      </c>
      <c r="K355" s="204">
        <v>43598</v>
      </c>
      <c r="L355" s="192"/>
      <c r="M355" s="250"/>
    </row>
    <row r="356" spans="1:13" s="212" customFormat="1" ht="13.5" customHeight="1" x14ac:dyDescent="0.3">
      <c r="A356" s="185" t="s">
        <v>838</v>
      </c>
      <c r="B356" s="210" t="s">
        <v>359</v>
      </c>
      <c r="C356" s="187" t="s">
        <v>840</v>
      </c>
      <c r="D356" s="203" t="s">
        <v>969</v>
      </c>
      <c r="E356" s="190">
        <v>180</v>
      </c>
      <c r="F356" s="205" t="s">
        <v>20</v>
      </c>
      <c r="G356" s="206">
        <v>43591</v>
      </c>
      <c r="H356" s="211">
        <v>54</v>
      </c>
      <c r="I356" s="188">
        <v>786</v>
      </c>
      <c r="J356" s="188">
        <f t="shared" si="5"/>
        <v>42444</v>
      </c>
      <c r="K356" s="204">
        <v>43598</v>
      </c>
      <c r="L356" s="192"/>
      <c r="M356" s="250"/>
    </row>
    <row r="357" spans="1:13" s="212" customFormat="1" ht="13.5" customHeight="1" x14ac:dyDescent="0.3">
      <c r="A357" s="185" t="s">
        <v>967</v>
      </c>
      <c r="B357" s="210" t="s">
        <v>359</v>
      </c>
      <c r="C357" s="187" t="s">
        <v>840</v>
      </c>
      <c r="D357" s="203" t="s">
        <v>969</v>
      </c>
      <c r="E357" s="190">
        <v>180</v>
      </c>
      <c r="F357" s="205" t="s">
        <v>20</v>
      </c>
      <c r="G357" s="206">
        <v>43591</v>
      </c>
      <c r="H357" s="211">
        <f>513-H356</f>
        <v>459</v>
      </c>
      <c r="I357" s="188">
        <v>786</v>
      </c>
      <c r="J357" s="188">
        <f t="shared" si="5"/>
        <v>360774</v>
      </c>
      <c r="K357" s="204">
        <v>43598</v>
      </c>
      <c r="L357" s="192"/>
      <c r="M357" s="250"/>
    </row>
    <row r="358" spans="1:13" s="212" customFormat="1" ht="13.5" customHeight="1" x14ac:dyDescent="0.3">
      <c r="A358" s="185" t="s">
        <v>974</v>
      </c>
      <c r="B358" s="210" t="s">
        <v>360</v>
      </c>
      <c r="C358" s="187" t="s">
        <v>361</v>
      </c>
      <c r="D358" s="203" t="s">
        <v>978</v>
      </c>
      <c r="E358" s="190">
        <v>150</v>
      </c>
      <c r="F358" s="205" t="s">
        <v>20</v>
      </c>
      <c r="G358" s="206">
        <v>43591</v>
      </c>
      <c r="H358" s="211">
        <v>49</v>
      </c>
      <c r="I358" s="188">
        <v>1290</v>
      </c>
      <c r="J358" s="188">
        <f t="shared" si="5"/>
        <v>63210</v>
      </c>
      <c r="K358" s="204">
        <v>43598</v>
      </c>
      <c r="L358" s="192"/>
      <c r="M358" s="250"/>
    </row>
    <row r="359" spans="1:13" s="212" customFormat="1" ht="13.5" customHeight="1" x14ac:dyDescent="0.25">
      <c r="A359" s="185" t="s">
        <v>1132</v>
      </c>
      <c r="B359" s="210" t="s">
        <v>6</v>
      </c>
      <c r="C359" s="187" t="s">
        <v>7</v>
      </c>
      <c r="D359" s="203" t="s">
        <v>1172</v>
      </c>
      <c r="E359" s="190" t="s">
        <v>5</v>
      </c>
      <c r="F359" s="205"/>
      <c r="G359" s="206">
        <v>43605</v>
      </c>
      <c r="H359" s="211">
        <v>800</v>
      </c>
      <c r="I359" s="188">
        <v>515</v>
      </c>
      <c r="J359" s="188">
        <f t="shared" si="5"/>
        <v>412000</v>
      </c>
      <c r="K359" s="204">
        <v>43607</v>
      </c>
      <c r="L359" s="192"/>
      <c r="M359" s="250"/>
    </row>
    <row r="360" spans="1:13" s="212" customFormat="1" ht="13.5" customHeight="1" x14ac:dyDescent="0.25">
      <c r="A360" s="185" t="s">
        <v>1133</v>
      </c>
      <c r="B360" s="210" t="s">
        <v>6</v>
      </c>
      <c r="C360" s="187" t="s">
        <v>7</v>
      </c>
      <c r="D360" s="203" t="s">
        <v>1173</v>
      </c>
      <c r="E360" s="190" t="s">
        <v>5</v>
      </c>
      <c r="F360" s="205"/>
      <c r="G360" s="206">
        <v>43605</v>
      </c>
      <c r="H360" s="211">
        <v>400</v>
      </c>
      <c r="I360" s="188">
        <v>530</v>
      </c>
      <c r="J360" s="188">
        <f t="shared" si="5"/>
        <v>212000</v>
      </c>
      <c r="K360" s="204">
        <v>43607</v>
      </c>
      <c r="L360" s="192"/>
      <c r="M360" s="250"/>
    </row>
    <row r="361" spans="1:13" s="212" customFormat="1" ht="13.5" customHeight="1" x14ac:dyDescent="0.3">
      <c r="A361" s="185" t="s">
        <v>975</v>
      </c>
      <c r="B361" s="210" t="s">
        <v>360</v>
      </c>
      <c r="C361" s="187" t="s">
        <v>361</v>
      </c>
      <c r="D361" s="203" t="s">
        <v>979</v>
      </c>
      <c r="E361" s="190">
        <v>150</v>
      </c>
      <c r="F361" s="205" t="s">
        <v>20</v>
      </c>
      <c r="G361" s="206">
        <v>43606</v>
      </c>
      <c r="H361" s="211">
        <v>49</v>
      </c>
      <c r="I361" s="188">
        <v>1290</v>
      </c>
      <c r="J361" s="188">
        <f t="shared" si="5"/>
        <v>63210</v>
      </c>
      <c r="K361" s="204">
        <v>43607</v>
      </c>
      <c r="L361" s="192"/>
      <c r="M361" s="250"/>
    </row>
    <row r="362" spans="1:13" s="212" customFormat="1" ht="13.5" customHeight="1" x14ac:dyDescent="0.3">
      <c r="A362" s="185" t="s">
        <v>991</v>
      </c>
      <c r="B362" s="210" t="s">
        <v>993</v>
      </c>
      <c r="C362" s="187" t="s">
        <v>890</v>
      </c>
      <c r="D362" s="203" t="s">
        <v>1116</v>
      </c>
      <c r="E362" s="190">
        <v>120</v>
      </c>
      <c r="F362" s="205" t="s">
        <v>45</v>
      </c>
      <c r="G362" s="206">
        <v>43606</v>
      </c>
      <c r="H362" s="211">
        <v>100</v>
      </c>
      <c r="I362" s="188">
        <v>340</v>
      </c>
      <c r="J362" s="188">
        <f t="shared" si="5"/>
        <v>34000</v>
      </c>
      <c r="K362" s="204">
        <v>43607</v>
      </c>
      <c r="L362" s="192"/>
      <c r="M362" s="250"/>
    </row>
    <row r="363" spans="1:13" s="212" customFormat="1" ht="13.5" customHeight="1" x14ac:dyDescent="0.3">
      <c r="A363" s="185" t="s">
        <v>1019</v>
      </c>
      <c r="B363" s="210" t="s">
        <v>1020</v>
      </c>
      <c r="C363" s="187" t="s">
        <v>7</v>
      </c>
      <c r="D363" s="203" t="s">
        <v>1117</v>
      </c>
      <c r="E363" s="190">
        <v>90</v>
      </c>
      <c r="F363" s="205" t="s">
        <v>20</v>
      </c>
      <c r="G363" s="206">
        <v>43608</v>
      </c>
      <c r="H363" s="211">
        <v>106</v>
      </c>
      <c r="I363" s="188">
        <v>718</v>
      </c>
      <c r="J363" s="188">
        <f t="shared" si="5"/>
        <v>76108</v>
      </c>
      <c r="K363" s="204">
        <f>+G363</f>
        <v>43608</v>
      </c>
      <c r="L363" s="192" t="s">
        <v>499</v>
      </c>
      <c r="M363" s="250"/>
    </row>
    <row r="364" spans="1:13" s="212" customFormat="1" ht="13.5" customHeight="1" x14ac:dyDescent="0.3">
      <c r="A364" s="185" t="s">
        <v>1028</v>
      </c>
      <c r="B364" s="210" t="s">
        <v>789</v>
      </c>
      <c r="C364" s="187" t="s">
        <v>816</v>
      </c>
      <c r="D364" s="203" t="s">
        <v>1106</v>
      </c>
      <c r="E364" s="190">
        <v>90</v>
      </c>
      <c r="F364" s="205" t="s">
        <v>20</v>
      </c>
      <c r="G364" s="206">
        <v>43615</v>
      </c>
      <c r="H364" s="211">
        <v>456</v>
      </c>
      <c r="I364" s="188">
        <v>125</v>
      </c>
      <c r="J364" s="188">
        <f t="shared" si="5"/>
        <v>57000</v>
      </c>
      <c r="K364" s="204">
        <f>+G364</f>
        <v>43615</v>
      </c>
      <c r="L364" s="192" t="s">
        <v>499</v>
      </c>
      <c r="M364" s="250"/>
    </row>
    <row r="365" spans="1:13" s="216" customFormat="1" ht="13.5" customHeight="1" x14ac:dyDescent="0.3">
      <c r="A365" s="185" t="s">
        <v>1038</v>
      </c>
      <c r="B365" s="214" t="s">
        <v>35</v>
      </c>
      <c r="C365" s="187" t="s">
        <v>928</v>
      </c>
      <c r="D365" s="203" t="s">
        <v>1125</v>
      </c>
      <c r="E365" s="190">
        <v>90</v>
      </c>
      <c r="F365" s="205" t="s">
        <v>20</v>
      </c>
      <c r="G365" s="206">
        <v>43613</v>
      </c>
      <c r="H365" s="215">
        <v>100</v>
      </c>
      <c r="I365" s="188">
        <v>668</v>
      </c>
      <c r="J365" s="188">
        <f t="shared" si="5"/>
        <v>66800</v>
      </c>
      <c r="K365" s="204">
        <v>43613</v>
      </c>
      <c r="L365" s="192"/>
      <c r="M365" s="250"/>
    </row>
    <row r="366" spans="1:13" s="216" customFormat="1" ht="13.5" customHeight="1" x14ac:dyDescent="0.3">
      <c r="A366" s="185" t="s">
        <v>976</v>
      </c>
      <c r="B366" s="214" t="s">
        <v>360</v>
      </c>
      <c r="C366" s="187" t="s">
        <v>361</v>
      </c>
      <c r="D366" s="203" t="s">
        <v>1045</v>
      </c>
      <c r="E366" s="190">
        <v>150</v>
      </c>
      <c r="F366" s="205" t="s">
        <v>20</v>
      </c>
      <c r="G366" s="206">
        <v>43617</v>
      </c>
      <c r="H366" s="215">
        <v>49</v>
      </c>
      <c r="I366" s="188">
        <v>1290</v>
      </c>
      <c r="J366" s="188">
        <f t="shared" si="5"/>
        <v>63210</v>
      </c>
      <c r="K366" s="204">
        <v>43621</v>
      </c>
      <c r="L366" s="192"/>
      <c r="M366" s="250"/>
    </row>
    <row r="367" spans="1:13" s="216" customFormat="1" ht="13.5" customHeight="1" x14ac:dyDescent="0.3">
      <c r="A367" s="185" t="s">
        <v>1030</v>
      </c>
      <c r="B367" s="214" t="s">
        <v>789</v>
      </c>
      <c r="C367" s="187" t="s">
        <v>816</v>
      </c>
      <c r="D367" s="203" t="s">
        <v>1108</v>
      </c>
      <c r="E367" s="190">
        <v>90</v>
      </c>
      <c r="F367" s="205" t="s">
        <v>20</v>
      </c>
      <c r="G367" s="206">
        <v>43621</v>
      </c>
      <c r="H367" s="215">
        <v>300</v>
      </c>
      <c r="I367" s="188">
        <v>125</v>
      </c>
      <c r="J367" s="188">
        <f t="shared" si="5"/>
        <v>37500</v>
      </c>
      <c r="K367" s="204">
        <v>43621</v>
      </c>
      <c r="L367" s="192" t="s">
        <v>499</v>
      </c>
      <c r="M367" s="250"/>
    </row>
    <row r="368" spans="1:13" s="216" customFormat="1" ht="13.5" customHeight="1" x14ac:dyDescent="0.3">
      <c r="A368" s="185" t="s">
        <v>1123</v>
      </c>
      <c r="B368" s="214" t="s">
        <v>789</v>
      </c>
      <c r="C368" s="187" t="s">
        <v>280</v>
      </c>
      <c r="D368" s="203" t="s">
        <v>1039</v>
      </c>
      <c r="E368" s="190">
        <v>90</v>
      </c>
      <c r="F368" s="205" t="s">
        <v>20</v>
      </c>
      <c r="G368" s="206">
        <v>43625</v>
      </c>
      <c r="H368" s="215">
        <v>162</v>
      </c>
      <c r="I368" s="188">
        <v>154</v>
      </c>
      <c r="J368" s="188">
        <f t="shared" si="5"/>
        <v>24948</v>
      </c>
      <c r="K368" s="204">
        <v>43627</v>
      </c>
      <c r="L368" s="192"/>
      <c r="M368" s="250"/>
    </row>
    <row r="369" spans="1:13" s="216" customFormat="1" ht="13.5" customHeight="1" x14ac:dyDescent="0.3">
      <c r="A369" s="185" t="s">
        <v>1029</v>
      </c>
      <c r="B369" s="214" t="s">
        <v>789</v>
      </c>
      <c r="C369" s="187" t="s">
        <v>816</v>
      </c>
      <c r="D369" s="203" t="s">
        <v>1107</v>
      </c>
      <c r="E369" s="190">
        <v>90</v>
      </c>
      <c r="F369" s="205" t="s">
        <v>20</v>
      </c>
      <c r="G369" s="206">
        <v>43630</v>
      </c>
      <c r="H369" s="215">
        <v>570</v>
      </c>
      <c r="I369" s="188">
        <v>125</v>
      </c>
      <c r="J369" s="188">
        <f t="shared" si="5"/>
        <v>71250</v>
      </c>
      <c r="K369" s="204">
        <v>43630</v>
      </c>
      <c r="L369" s="192" t="s">
        <v>499</v>
      </c>
      <c r="M369" s="250"/>
    </row>
    <row r="370" spans="1:13" s="216" customFormat="1" ht="13.5" customHeight="1" x14ac:dyDescent="0.3">
      <c r="A370" s="185" t="s">
        <v>1124</v>
      </c>
      <c r="B370" s="214" t="s">
        <v>789</v>
      </c>
      <c r="C370" s="187" t="s">
        <v>280</v>
      </c>
      <c r="D370" s="203" t="s">
        <v>1039</v>
      </c>
      <c r="E370" s="190">
        <v>90</v>
      </c>
      <c r="F370" s="205" t="s">
        <v>20</v>
      </c>
      <c r="G370" s="206">
        <v>43630</v>
      </c>
      <c r="H370" s="215">
        <v>162</v>
      </c>
      <c r="I370" s="188">
        <v>154</v>
      </c>
      <c r="J370" s="188">
        <f t="shared" si="5"/>
        <v>24948</v>
      </c>
      <c r="K370" s="204">
        <v>43634</v>
      </c>
      <c r="L370" s="192"/>
      <c r="M370" s="250"/>
    </row>
    <row r="371" spans="1:13" s="216" customFormat="1" ht="13.5" customHeight="1" x14ac:dyDescent="0.3">
      <c r="A371" s="185" t="s">
        <v>989</v>
      </c>
      <c r="B371" s="214" t="s">
        <v>243</v>
      </c>
      <c r="C371" s="187" t="s">
        <v>50</v>
      </c>
      <c r="D371" s="203" t="s">
        <v>552</v>
      </c>
      <c r="E371" s="190">
        <v>150</v>
      </c>
      <c r="F371" s="205" t="s">
        <v>20</v>
      </c>
      <c r="G371" s="206">
        <v>43630</v>
      </c>
      <c r="H371" s="215">
        <v>2199.067</v>
      </c>
      <c r="I371" s="188">
        <v>241</v>
      </c>
      <c r="J371" s="188">
        <f t="shared" si="5"/>
        <v>529975.147</v>
      </c>
      <c r="K371" s="204">
        <v>43634</v>
      </c>
      <c r="L371" s="192" t="s">
        <v>987</v>
      </c>
      <c r="M371" s="250"/>
    </row>
    <row r="372" spans="1:13" s="216" customFormat="1" ht="13.5" customHeight="1" x14ac:dyDescent="0.3">
      <c r="A372" s="185" t="s">
        <v>990</v>
      </c>
      <c r="B372" s="214" t="s">
        <v>32</v>
      </c>
      <c r="C372" s="187" t="s">
        <v>50</v>
      </c>
      <c r="D372" s="203" t="s">
        <v>552</v>
      </c>
      <c r="E372" s="190">
        <v>150</v>
      </c>
      <c r="F372" s="205" t="s">
        <v>20</v>
      </c>
      <c r="G372" s="206">
        <v>43630</v>
      </c>
      <c r="H372" s="215">
        <v>5000</v>
      </c>
      <c r="I372" s="188">
        <v>313</v>
      </c>
      <c r="J372" s="188">
        <f t="shared" si="5"/>
        <v>1565000</v>
      </c>
      <c r="K372" s="204">
        <v>43634</v>
      </c>
      <c r="L372" s="192" t="s">
        <v>987</v>
      </c>
      <c r="M372" s="250"/>
    </row>
    <row r="373" spans="1:13" s="216" customFormat="1" ht="13.5" customHeight="1" x14ac:dyDescent="0.3">
      <c r="A373" s="185" t="s">
        <v>1035</v>
      </c>
      <c r="B373" s="214" t="s">
        <v>28</v>
      </c>
      <c r="C373" s="187" t="s">
        <v>17</v>
      </c>
      <c r="D373" s="203" t="s">
        <v>1166</v>
      </c>
      <c r="E373" s="190">
        <v>60</v>
      </c>
      <c r="F373" s="205" t="s">
        <v>20</v>
      </c>
      <c r="G373" s="206">
        <v>43609</v>
      </c>
      <c r="H373" s="215">
        <v>504</v>
      </c>
      <c r="I373" s="188">
        <v>257</v>
      </c>
      <c r="J373" s="188">
        <f t="shared" si="5"/>
        <v>129528</v>
      </c>
      <c r="K373" s="204">
        <v>43635</v>
      </c>
      <c r="L373" s="192"/>
      <c r="M373" s="250"/>
    </row>
    <row r="374" spans="1:13" s="216" customFormat="1" ht="13.5" customHeight="1" x14ac:dyDescent="0.25">
      <c r="A374" s="185" t="s">
        <v>1179</v>
      </c>
      <c r="B374" s="214" t="s">
        <v>790</v>
      </c>
      <c r="C374" s="187" t="s">
        <v>277</v>
      </c>
      <c r="D374" s="203" t="s">
        <v>1202</v>
      </c>
      <c r="E374" s="190" t="s">
        <v>5</v>
      </c>
      <c r="F374" s="205"/>
      <c r="G374" s="206">
        <v>43641</v>
      </c>
      <c r="H374" s="215">
        <v>115.2</v>
      </c>
      <c r="I374" s="188">
        <v>325</v>
      </c>
      <c r="J374" s="188">
        <f t="shared" si="5"/>
        <v>37440</v>
      </c>
      <c r="K374" s="204">
        <v>43643</v>
      </c>
      <c r="L374" s="192"/>
      <c r="M374" s="250"/>
    </row>
    <row r="375" spans="1:13" s="216" customFormat="1" ht="13.5" customHeight="1" x14ac:dyDescent="0.3">
      <c r="A375" s="185" t="s">
        <v>1095</v>
      </c>
      <c r="B375" s="214" t="s">
        <v>241</v>
      </c>
      <c r="C375" s="187" t="s">
        <v>42</v>
      </c>
      <c r="D375" s="203" t="s">
        <v>1134</v>
      </c>
      <c r="E375" s="190">
        <v>90</v>
      </c>
      <c r="F375" s="205" t="s">
        <v>20</v>
      </c>
      <c r="G375" s="206">
        <v>43643</v>
      </c>
      <c r="H375" s="215">
        <v>111.9</v>
      </c>
      <c r="I375" s="188">
        <v>225</v>
      </c>
      <c r="J375" s="188">
        <v>25177.5</v>
      </c>
      <c r="K375" s="204">
        <v>43647</v>
      </c>
      <c r="L375" s="192"/>
      <c r="M375" s="250"/>
    </row>
    <row r="376" spans="1:13" s="216" customFormat="1" ht="13.5" customHeight="1" x14ac:dyDescent="0.3">
      <c r="A376" s="185" t="s">
        <v>1096</v>
      </c>
      <c r="B376" s="214" t="s">
        <v>241</v>
      </c>
      <c r="C376" s="187" t="s">
        <v>42</v>
      </c>
      <c r="D376" s="203" t="s">
        <v>1135</v>
      </c>
      <c r="E376" s="190">
        <v>90</v>
      </c>
      <c r="F376" s="205" t="s">
        <v>20</v>
      </c>
      <c r="G376" s="206">
        <v>43643</v>
      </c>
      <c r="H376" s="215">
        <v>167.8</v>
      </c>
      <c r="I376" s="188">
        <v>225</v>
      </c>
      <c r="J376" s="188">
        <v>37755</v>
      </c>
      <c r="K376" s="204">
        <v>43647</v>
      </c>
      <c r="L376" s="192"/>
      <c r="M376" s="250"/>
    </row>
    <row r="377" spans="1:13" s="216" customFormat="1" ht="13.5" customHeight="1" x14ac:dyDescent="0.3">
      <c r="A377" s="185" t="s">
        <v>1101</v>
      </c>
      <c r="B377" s="214" t="s">
        <v>1055</v>
      </c>
      <c r="C377" s="187" t="s">
        <v>42</v>
      </c>
      <c r="D377" s="203" t="s">
        <v>1134</v>
      </c>
      <c r="E377" s="190">
        <v>90</v>
      </c>
      <c r="F377" s="205" t="s">
        <v>20</v>
      </c>
      <c r="G377" s="206">
        <v>43643</v>
      </c>
      <c r="H377" s="215">
        <v>55.86</v>
      </c>
      <c r="I377" s="188">
        <v>275</v>
      </c>
      <c r="J377" s="188">
        <v>15361.5</v>
      </c>
      <c r="K377" s="204">
        <v>43647</v>
      </c>
      <c r="L377" s="192"/>
      <c r="M377" s="250"/>
    </row>
    <row r="378" spans="1:13" s="216" customFormat="1" ht="13.5" customHeight="1" x14ac:dyDescent="0.3">
      <c r="A378" s="185" t="s">
        <v>1102</v>
      </c>
      <c r="B378" s="214" t="s">
        <v>1055</v>
      </c>
      <c r="C378" s="187" t="s">
        <v>42</v>
      </c>
      <c r="D378" s="203" t="s">
        <v>1135</v>
      </c>
      <c r="E378" s="190">
        <v>90</v>
      </c>
      <c r="F378" s="205" t="s">
        <v>20</v>
      </c>
      <c r="G378" s="206">
        <v>43643</v>
      </c>
      <c r="H378" s="215">
        <v>55.88</v>
      </c>
      <c r="I378" s="188">
        <v>275</v>
      </c>
      <c r="J378" s="188">
        <v>15367</v>
      </c>
      <c r="K378" s="204">
        <v>43647</v>
      </c>
      <c r="L378" s="192"/>
      <c r="M378" s="250"/>
    </row>
    <row r="379" spans="1:13" s="216" customFormat="1" ht="13.5" customHeight="1" x14ac:dyDescent="0.3">
      <c r="A379" s="185" t="s">
        <v>1031</v>
      </c>
      <c r="B379" s="214" t="s">
        <v>11</v>
      </c>
      <c r="C379" s="187" t="s">
        <v>16</v>
      </c>
      <c r="D379" s="203" t="s">
        <v>1188</v>
      </c>
      <c r="E379" s="190">
        <v>90</v>
      </c>
      <c r="F379" s="205" t="s">
        <v>20</v>
      </c>
      <c r="G379" s="206">
        <v>43645</v>
      </c>
      <c r="H379" s="215">
        <v>200</v>
      </c>
      <c r="I379" s="188">
        <v>268</v>
      </c>
      <c r="J379" s="188">
        <v>53600</v>
      </c>
      <c r="K379" s="204">
        <v>43647</v>
      </c>
      <c r="L379" s="192"/>
      <c r="M379" s="250"/>
    </row>
    <row r="380" spans="1:13" s="216" customFormat="1" ht="13.5" customHeight="1" x14ac:dyDescent="0.3">
      <c r="A380" s="185" t="s">
        <v>1032</v>
      </c>
      <c r="B380" s="214" t="s">
        <v>11</v>
      </c>
      <c r="C380" s="187" t="s">
        <v>16</v>
      </c>
      <c r="D380" s="203" t="s">
        <v>1189</v>
      </c>
      <c r="E380" s="190">
        <v>90</v>
      </c>
      <c r="F380" s="205" t="s">
        <v>20</v>
      </c>
      <c r="G380" s="206">
        <v>43645</v>
      </c>
      <c r="H380" s="215">
        <v>75</v>
      </c>
      <c r="I380" s="188">
        <v>278</v>
      </c>
      <c r="J380" s="188">
        <v>20850</v>
      </c>
      <c r="K380" s="204">
        <v>43647</v>
      </c>
      <c r="L380" s="192"/>
      <c r="M380" s="250"/>
    </row>
    <row r="381" spans="1:13" s="216" customFormat="1" ht="13.5" customHeight="1" x14ac:dyDescent="0.3">
      <c r="A381" s="185" t="s">
        <v>1037</v>
      </c>
      <c r="B381" s="214" t="s">
        <v>6</v>
      </c>
      <c r="C381" s="187" t="s">
        <v>16</v>
      </c>
      <c r="D381" s="203" t="s">
        <v>1190</v>
      </c>
      <c r="E381" s="190">
        <v>90</v>
      </c>
      <c r="F381" s="205" t="s">
        <v>20</v>
      </c>
      <c r="G381" s="206">
        <v>43646</v>
      </c>
      <c r="H381" s="215">
        <v>104</v>
      </c>
      <c r="I381" s="188">
        <v>530</v>
      </c>
      <c r="J381" s="188">
        <v>55120</v>
      </c>
      <c r="K381" s="204">
        <v>43647</v>
      </c>
      <c r="L381" s="192"/>
      <c r="M381" s="250"/>
    </row>
    <row r="382" spans="1:13" s="216" customFormat="1" ht="13.5" customHeight="1" x14ac:dyDescent="0.25">
      <c r="A382" s="185" t="s">
        <v>1219</v>
      </c>
      <c r="B382" s="214" t="s">
        <v>795</v>
      </c>
      <c r="C382" s="187" t="s">
        <v>7</v>
      </c>
      <c r="D382" s="203" t="s">
        <v>1223</v>
      </c>
      <c r="E382" s="190" t="s">
        <v>5</v>
      </c>
      <c r="F382" s="205"/>
      <c r="G382" s="206">
        <v>43649</v>
      </c>
      <c r="H382" s="215">
        <v>5.3343350000000003</v>
      </c>
      <c r="I382" s="188">
        <v>11435.35229789655</v>
      </c>
      <c r="J382" s="188">
        <f t="shared" ref="J382:J424" si="6">+I382*H382</f>
        <v>61000</v>
      </c>
      <c r="K382" s="204">
        <v>43648</v>
      </c>
      <c r="L382" s="192"/>
      <c r="M382" s="250"/>
    </row>
    <row r="383" spans="1:13" s="217" customFormat="1" ht="13.5" customHeight="1" x14ac:dyDescent="0.3">
      <c r="A383" s="185" t="s">
        <v>1097</v>
      </c>
      <c r="B383" s="218" t="s">
        <v>241</v>
      </c>
      <c r="C383" s="187" t="s">
        <v>42</v>
      </c>
      <c r="D383" s="203" t="s">
        <v>1167</v>
      </c>
      <c r="E383" s="190">
        <v>90</v>
      </c>
      <c r="F383" s="205" t="s">
        <v>20</v>
      </c>
      <c r="G383" s="206">
        <v>43657</v>
      </c>
      <c r="H383" s="219">
        <v>111.9</v>
      </c>
      <c r="I383" s="188">
        <v>225</v>
      </c>
      <c r="J383" s="188">
        <f t="shared" si="6"/>
        <v>25177.5</v>
      </c>
      <c r="K383" s="204">
        <v>43657</v>
      </c>
      <c r="L383" s="192"/>
      <c r="M383" s="250"/>
    </row>
    <row r="384" spans="1:13" s="217" customFormat="1" ht="13.5" customHeight="1" x14ac:dyDescent="0.3">
      <c r="A384" s="185" t="s">
        <v>1098</v>
      </c>
      <c r="B384" s="218" t="s">
        <v>241</v>
      </c>
      <c r="C384" s="187" t="s">
        <v>42</v>
      </c>
      <c r="D384" s="203" t="s">
        <v>1168</v>
      </c>
      <c r="E384" s="190">
        <v>90</v>
      </c>
      <c r="F384" s="205" t="s">
        <v>20</v>
      </c>
      <c r="G384" s="206">
        <v>43657</v>
      </c>
      <c r="H384" s="219">
        <v>139.88</v>
      </c>
      <c r="I384" s="188">
        <v>225</v>
      </c>
      <c r="J384" s="188">
        <f t="shared" si="6"/>
        <v>31473</v>
      </c>
      <c r="K384" s="204">
        <v>43657</v>
      </c>
      <c r="L384" s="192"/>
      <c r="M384" s="250"/>
    </row>
    <row r="385" spans="1:13" s="221" customFormat="1" ht="13.5" customHeight="1" x14ac:dyDescent="0.3">
      <c r="A385" s="185" t="s">
        <v>931</v>
      </c>
      <c r="B385" s="218" t="s">
        <v>359</v>
      </c>
      <c r="C385" s="187" t="s">
        <v>840</v>
      </c>
      <c r="D385" s="203" t="s">
        <v>1115</v>
      </c>
      <c r="E385" s="190">
        <v>150</v>
      </c>
      <c r="F385" s="205" t="s">
        <v>20</v>
      </c>
      <c r="G385" s="206">
        <v>43669</v>
      </c>
      <c r="H385" s="219">
        <v>513</v>
      </c>
      <c r="I385" s="188">
        <v>786</v>
      </c>
      <c r="J385" s="188">
        <f t="shared" si="6"/>
        <v>403218</v>
      </c>
      <c r="K385" s="204">
        <v>43669</v>
      </c>
      <c r="L385" s="192"/>
      <c r="M385" s="250"/>
    </row>
    <row r="386" spans="1:13" s="221" customFormat="1" ht="13.5" customHeight="1" x14ac:dyDescent="0.3">
      <c r="A386" s="185" t="s">
        <v>1054</v>
      </c>
      <c r="B386" s="218" t="s">
        <v>1194</v>
      </c>
      <c r="C386" s="187" t="s">
        <v>44</v>
      </c>
      <c r="D386" s="203" t="s">
        <v>1197</v>
      </c>
      <c r="E386" s="190">
        <v>90</v>
      </c>
      <c r="F386" s="205" t="s">
        <v>20</v>
      </c>
      <c r="G386" s="206">
        <v>43663</v>
      </c>
      <c r="H386" s="219">
        <v>3.6280000000000001</v>
      </c>
      <c r="I386" s="188">
        <v>2354.0793825799337</v>
      </c>
      <c r="J386" s="188">
        <f t="shared" si="6"/>
        <v>8540.6</v>
      </c>
      <c r="K386" s="204">
        <v>43672</v>
      </c>
      <c r="L386" s="192"/>
      <c r="M386" s="250"/>
    </row>
    <row r="387" spans="1:13" s="221" customFormat="1" ht="13.5" customHeight="1" x14ac:dyDescent="0.3">
      <c r="A387" s="185" t="s">
        <v>1199</v>
      </c>
      <c r="B387" s="218" t="s">
        <v>1195</v>
      </c>
      <c r="C387" s="187" t="s">
        <v>44</v>
      </c>
      <c r="D387" s="203" t="s">
        <v>1197</v>
      </c>
      <c r="E387" s="190">
        <v>90</v>
      </c>
      <c r="F387" s="205" t="s">
        <v>20</v>
      </c>
      <c r="G387" s="206">
        <v>43663</v>
      </c>
      <c r="H387" s="219">
        <v>14.51496</v>
      </c>
      <c r="I387" s="188">
        <v>2588.6120251106445</v>
      </c>
      <c r="J387" s="188">
        <f t="shared" si="6"/>
        <v>37573.599999999999</v>
      </c>
      <c r="K387" s="204">
        <v>43672</v>
      </c>
      <c r="L387" s="192"/>
      <c r="M387" s="250"/>
    </row>
    <row r="388" spans="1:13" s="221" customFormat="1" ht="13.5" customHeight="1" x14ac:dyDescent="0.3">
      <c r="A388" s="185" t="s">
        <v>1200</v>
      </c>
      <c r="B388" s="218" t="s">
        <v>1196</v>
      </c>
      <c r="C388" s="187" t="s">
        <v>44</v>
      </c>
      <c r="D388" s="203" t="s">
        <v>1198</v>
      </c>
      <c r="E388" s="190">
        <v>90</v>
      </c>
      <c r="F388" s="205" t="s">
        <v>20</v>
      </c>
      <c r="G388" s="206">
        <v>43663</v>
      </c>
      <c r="H388" s="219">
        <v>18.143689999999999</v>
      </c>
      <c r="I388" s="188">
        <v>2314.4685562859595</v>
      </c>
      <c r="J388" s="188">
        <f t="shared" si="6"/>
        <v>41993</v>
      </c>
      <c r="K388" s="204">
        <v>43672</v>
      </c>
      <c r="L388" s="192"/>
      <c r="M388" s="250"/>
    </row>
    <row r="389" spans="1:13" s="222" customFormat="1" ht="13.5" customHeight="1" x14ac:dyDescent="0.25">
      <c r="A389" s="185" t="s">
        <v>1210</v>
      </c>
      <c r="B389" s="223" t="s">
        <v>6</v>
      </c>
      <c r="C389" s="187" t="s">
        <v>7</v>
      </c>
      <c r="D389" s="225" t="s">
        <v>1249</v>
      </c>
      <c r="E389" s="190" t="s">
        <v>5</v>
      </c>
      <c r="F389" s="227"/>
      <c r="G389" s="228">
        <v>43678</v>
      </c>
      <c r="H389" s="224">
        <v>300</v>
      </c>
      <c r="I389" s="188">
        <v>511</v>
      </c>
      <c r="J389" s="188">
        <f t="shared" si="6"/>
        <v>153300</v>
      </c>
      <c r="K389" s="226">
        <v>43679</v>
      </c>
      <c r="L389" s="192"/>
      <c r="M389" s="250"/>
    </row>
    <row r="390" spans="1:13" s="222" customFormat="1" ht="13.5" customHeight="1" x14ac:dyDescent="0.25">
      <c r="A390" s="185" t="s">
        <v>1250</v>
      </c>
      <c r="B390" s="223" t="s">
        <v>6</v>
      </c>
      <c r="C390" s="187" t="s">
        <v>7</v>
      </c>
      <c r="D390" s="225" t="s">
        <v>1251</v>
      </c>
      <c r="E390" s="190" t="s">
        <v>5</v>
      </c>
      <c r="F390" s="227"/>
      <c r="G390" s="233">
        <v>43678</v>
      </c>
      <c r="H390" s="224">
        <v>850</v>
      </c>
      <c r="I390" s="188">
        <v>521</v>
      </c>
      <c r="J390" s="188">
        <f t="shared" si="6"/>
        <v>442850</v>
      </c>
      <c r="K390" s="232">
        <v>43679</v>
      </c>
      <c r="L390" s="192"/>
      <c r="M390" s="250"/>
    </row>
    <row r="391" spans="1:13" s="229" customFormat="1" ht="13.5" customHeight="1" x14ac:dyDescent="0.3">
      <c r="A391" s="185" t="s">
        <v>1111</v>
      </c>
      <c r="B391" s="230" t="s">
        <v>359</v>
      </c>
      <c r="C391" s="187" t="s">
        <v>840</v>
      </c>
      <c r="D391" s="225" t="s">
        <v>1113</v>
      </c>
      <c r="E391" s="190">
        <v>150</v>
      </c>
      <c r="F391" s="227" t="s">
        <v>20</v>
      </c>
      <c r="G391" s="233">
        <v>43679</v>
      </c>
      <c r="H391" s="231">
        <v>297</v>
      </c>
      <c r="I391" s="188">
        <v>776</v>
      </c>
      <c r="J391" s="188">
        <f t="shared" si="6"/>
        <v>230472</v>
      </c>
      <c r="K391" s="232">
        <v>43678</v>
      </c>
      <c r="L391" s="192"/>
      <c r="M391" s="250"/>
    </row>
    <row r="392" spans="1:13" s="229" customFormat="1" ht="13.5" customHeight="1" x14ac:dyDescent="0.25">
      <c r="A392" s="185" t="s">
        <v>1220</v>
      </c>
      <c r="B392" s="230" t="s">
        <v>32</v>
      </c>
      <c r="C392" s="187" t="s">
        <v>50</v>
      </c>
      <c r="D392" s="225" t="s">
        <v>552</v>
      </c>
      <c r="E392" s="190" t="s">
        <v>5</v>
      </c>
      <c r="F392" s="227"/>
      <c r="G392" s="233">
        <v>43683</v>
      </c>
      <c r="H392" s="231">
        <v>1975</v>
      </c>
      <c r="I392" s="188">
        <f>307.5-40</f>
        <v>267.5</v>
      </c>
      <c r="J392" s="188">
        <f t="shared" si="6"/>
        <v>528312.5</v>
      </c>
      <c r="K392" s="232">
        <v>43684</v>
      </c>
      <c r="L392" s="305">
        <v>43673</v>
      </c>
      <c r="M392" s="250"/>
    </row>
    <row r="393" spans="1:13" s="229" customFormat="1" ht="13.5" customHeight="1" x14ac:dyDescent="0.25">
      <c r="A393" s="185" t="s">
        <v>1221</v>
      </c>
      <c r="B393" s="230" t="s">
        <v>243</v>
      </c>
      <c r="C393" s="187" t="s">
        <v>50</v>
      </c>
      <c r="D393" s="225" t="s">
        <v>552</v>
      </c>
      <c r="E393" s="190" t="s">
        <v>5</v>
      </c>
      <c r="F393" s="227"/>
      <c r="G393" s="233">
        <v>43683</v>
      </c>
      <c r="H393" s="231">
        <v>6156</v>
      </c>
      <c r="I393" s="188">
        <f>274-40</f>
        <v>234</v>
      </c>
      <c r="J393" s="188">
        <f t="shared" si="6"/>
        <v>1440504</v>
      </c>
      <c r="K393" s="232">
        <v>43684</v>
      </c>
      <c r="L393" s="305">
        <f>+L392+I675</f>
        <v>44376</v>
      </c>
      <c r="M393" s="250"/>
    </row>
    <row r="394" spans="1:13" s="229" customFormat="1" ht="13.5" customHeight="1" x14ac:dyDescent="0.25">
      <c r="A394" s="185" t="s">
        <v>811</v>
      </c>
      <c r="B394" s="230" t="s">
        <v>1252</v>
      </c>
      <c r="C394" s="187" t="s">
        <v>46</v>
      </c>
      <c r="D394" s="225" t="s">
        <v>552</v>
      </c>
      <c r="E394" s="190" t="s">
        <v>5</v>
      </c>
      <c r="F394" s="227"/>
      <c r="G394" s="233">
        <v>43683</v>
      </c>
      <c r="H394" s="231">
        <f>+H393+H392</f>
        <v>8131</v>
      </c>
      <c r="I394" s="188">
        <v>40</v>
      </c>
      <c r="J394" s="188">
        <f t="shared" si="6"/>
        <v>325240</v>
      </c>
      <c r="K394" s="232">
        <v>43684</v>
      </c>
      <c r="L394" s="192"/>
      <c r="M394" s="250"/>
    </row>
    <row r="395" spans="1:13" s="229" customFormat="1" ht="13.5" customHeight="1" x14ac:dyDescent="0.3">
      <c r="A395" s="185" t="s">
        <v>1072</v>
      </c>
      <c r="B395" s="230" t="s">
        <v>1082</v>
      </c>
      <c r="C395" s="187" t="s">
        <v>1091</v>
      </c>
      <c r="D395" s="225" t="s">
        <v>1129</v>
      </c>
      <c r="E395" s="190">
        <v>120</v>
      </c>
      <c r="F395" s="227" t="s">
        <v>45</v>
      </c>
      <c r="G395" s="233">
        <v>43686</v>
      </c>
      <c r="H395" s="231">
        <v>0.79200000000000004</v>
      </c>
      <c r="I395" s="188">
        <v>18400</v>
      </c>
      <c r="J395" s="188">
        <f t="shared" si="6"/>
        <v>14572.800000000001</v>
      </c>
      <c r="K395" s="232">
        <v>43685</v>
      </c>
      <c r="L395" s="192"/>
      <c r="M395" s="250"/>
    </row>
    <row r="396" spans="1:13" s="229" customFormat="1" ht="13.5" customHeight="1" x14ac:dyDescent="0.3">
      <c r="A396" s="185" t="s">
        <v>1073</v>
      </c>
      <c r="B396" s="230" t="s">
        <v>1083</v>
      </c>
      <c r="C396" s="187" t="s">
        <v>1091</v>
      </c>
      <c r="D396" s="225" t="s">
        <v>1129</v>
      </c>
      <c r="E396" s="190">
        <v>120</v>
      </c>
      <c r="F396" s="227" t="s">
        <v>45</v>
      </c>
      <c r="G396" s="233">
        <v>43686</v>
      </c>
      <c r="H396" s="231">
        <v>1</v>
      </c>
      <c r="I396" s="188">
        <v>17200</v>
      </c>
      <c r="J396" s="188">
        <f t="shared" si="6"/>
        <v>17200</v>
      </c>
      <c r="K396" s="232">
        <v>43685</v>
      </c>
      <c r="L396" s="192"/>
      <c r="M396" s="250"/>
    </row>
    <row r="397" spans="1:13" s="229" customFormat="1" ht="13.5" customHeight="1" x14ac:dyDescent="0.3">
      <c r="A397" s="185" t="s">
        <v>1074</v>
      </c>
      <c r="B397" s="230" t="s">
        <v>1084</v>
      </c>
      <c r="C397" s="187" t="s">
        <v>1091</v>
      </c>
      <c r="D397" s="225" t="s">
        <v>1129</v>
      </c>
      <c r="E397" s="190">
        <v>120</v>
      </c>
      <c r="F397" s="227" t="s">
        <v>45</v>
      </c>
      <c r="G397" s="233">
        <v>43686</v>
      </c>
      <c r="H397" s="231">
        <v>1.2</v>
      </c>
      <c r="I397" s="188">
        <v>4450</v>
      </c>
      <c r="J397" s="188">
        <f t="shared" si="6"/>
        <v>5340</v>
      </c>
      <c r="K397" s="232">
        <v>43685</v>
      </c>
      <c r="L397" s="192"/>
      <c r="M397" s="250"/>
    </row>
    <row r="398" spans="1:13" s="229" customFormat="1" ht="13.5" customHeight="1" x14ac:dyDescent="0.3">
      <c r="A398" s="185" t="s">
        <v>1075</v>
      </c>
      <c r="B398" s="230" t="s">
        <v>1085</v>
      </c>
      <c r="C398" s="187" t="s">
        <v>1091</v>
      </c>
      <c r="D398" s="225" t="s">
        <v>1129</v>
      </c>
      <c r="E398" s="190">
        <v>120</v>
      </c>
      <c r="F398" s="227" t="s">
        <v>45</v>
      </c>
      <c r="G398" s="233">
        <v>43686</v>
      </c>
      <c r="H398" s="231">
        <v>0.79200000000000004</v>
      </c>
      <c r="I398" s="188">
        <v>6500</v>
      </c>
      <c r="J398" s="188">
        <f t="shared" si="6"/>
        <v>5148</v>
      </c>
      <c r="K398" s="232">
        <v>43685</v>
      </c>
      <c r="L398" s="192"/>
      <c r="M398" s="250"/>
    </row>
    <row r="399" spans="1:13" s="229" customFormat="1" ht="13.5" customHeight="1" x14ac:dyDescent="0.3">
      <c r="A399" s="185" t="s">
        <v>1076</v>
      </c>
      <c r="B399" s="230" t="s">
        <v>1086</v>
      </c>
      <c r="C399" s="187" t="s">
        <v>1091</v>
      </c>
      <c r="D399" s="225" t="s">
        <v>1129</v>
      </c>
      <c r="E399" s="190">
        <v>120</v>
      </c>
      <c r="F399" s="227" t="s">
        <v>45</v>
      </c>
      <c r="G399" s="233">
        <v>43686</v>
      </c>
      <c r="H399" s="231">
        <v>1</v>
      </c>
      <c r="I399" s="188">
        <v>5300</v>
      </c>
      <c r="J399" s="188">
        <f t="shared" si="6"/>
        <v>5300</v>
      </c>
      <c r="K399" s="232">
        <v>43685</v>
      </c>
      <c r="L399" s="192"/>
      <c r="M399" s="250"/>
    </row>
    <row r="400" spans="1:13" s="229" customFormat="1" ht="13.5" customHeight="1" x14ac:dyDescent="0.3">
      <c r="A400" s="185" t="s">
        <v>1077</v>
      </c>
      <c r="B400" s="230" t="s">
        <v>1087</v>
      </c>
      <c r="C400" s="187" t="s">
        <v>1091</v>
      </c>
      <c r="D400" s="225" t="s">
        <v>1129</v>
      </c>
      <c r="E400" s="190">
        <v>120</v>
      </c>
      <c r="F400" s="227" t="s">
        <v>45</v>
      </c>
      <c r="G400" s="233">
        <v>43686</v>
      </c>
      <c r="H400" s="231">
        <v>1.5840000000000001</v>
      </c>
      <c r="I400" s="188">
        <v>48000</v>
      </c>
      <c r="J400" s="188">
        <f t="shared" si="6"/>
        <v>76032</v>
      </c>
      <c r="K400" s="232">
        <v>43685</v>
      </c>
      <c r="L400" s="192"/>
      <c r="M400" s="250"/>
    </row>
    <row r="401" spans="1:13" s="229" customFormat="1" ht="13.5" customHeight="1" x14ac:dyDescent="0.3">
      <c r="A401" s="185" t="s">
        <v>1078</v>
      </c>
      <c r="B401" s="230" t="s">
        <v>1088</v>
      </c>
      <c r="C401" s="187" t="s">
        <v>1091</v>
      </c>
      <c r="D401" s="225" t="s">
        <v>1129</v>
      </c>
      <c r="E401" s="190">
        <v>120</v>
      </c>
      <c r="F401" s="227" t="s">
        <v>45</v>
      </c>
      <c r="G401" s="233">
        <v>43686</v>
      </c>
      <c r="H401" s="231">
        <v>0.79200000000000004</v>
      </c>
      <c r="I401" s="188">
        <v>21149.999999999996</v>
      </c>
      <c r="J401" s="188">
        <f t="shared" si="6"/>
        <v>16750.8</v>
      </c>
      <c r="K401" s="232">
        <v>43685</v>
      </c>
      <c r="L401" s="192"/>
      <c r="M401" s="250"/>
    </row>
    <row r="402" spans="1:13" s="229" customFormat="1" ht="13.5" customHeight="1" x14ac:dyDescent="0.3">
      <c r="A402" s="185" t="s">
        <v>1079</v>
      </c>
      <c r="B402" s="230" t="s">
        <v>1089</v>
      </c>
      <c r="C402" s="187" t="s">
        <v>1091</v>
      </c>
      <c r="D402" s="225" t="s">
        <v>1129</v>
      </c>
      <c r="E402" s="190">
        <v>120</v>
      </c>
      <c r="F402" s="227" t="s">
        <v>45</v>
      </c>
      <c r="G402" s="233">
        <v>43686</v>
      </c>
      <c r="H402" s="231">
        <v>1</v>
      </c>
      <c r="I402" s="188">
        <v>19950</v>
      </c>
      <c r="J402" s="188">
        <f t="shared" si="6"/>
        <v>19950</v>
      </c>
      <c r="K402" s="232">
        <v>43685</v>
      </c>
      <c r="L402" s="192"/>
      <c r="M402" s="250"/>
    </row>
    <row r="403" spans="1:13" s="229" customFormat="1" ht="13.5" customHeight="1" x14ac:dyDescent="0.3">
      <c r="A403" s="185" t="s">
        <v>1080</v>
      </c>
      <c r="B403" s="230" t="s">
        <v>1090</v>
      </c>
      <c r="C403" s="187" t="s">
        <v>1091</v>
      </c>
      <c r="D403" s="225" t="s">
        <v>1129</v>
      </c>
      <c r="E403" s="190">
        <v>120</v>
      </c>
      <c r="F403" s="227" t="s">
        <v>45</v>
      </c>
      <c r="G403" s="233">
        <v>43686</v>
      </c>
      <c r="H403" s="231">
        <v>0.79200000000000004</v>
      </c>
      <c r="I403" s="188">
        <v>22299.999999999996</v>
      </c>
      <c r="J403" s="188">
        <f t="shared" si="6"/>
        <v>17661.599999999999</v>
      </c>
      <c r="K403" s="232">
        <v>43685</v>
      </c>
      <c r="L403" s="192"/>
      <c r="M403" s="250"/>
    </row>
    <row r="404" spans="1:13" s="229" customFormat="1" ht="13.5" customHeight="1" x14ac:dyDescent="0.3">
      <c r="A404" s="185" t="s">
        <v>1064</v>
      </c>
      <c r="B404" s="230" t="s">
        <v>1067</v>
      </c>
      <c r="C404" s="187" t="s">
        <v>890</v>
      </c>
      <c r="D404" s="225" t="s">
        <v>1169</v>
      </c>
      <c r="E404" s="190">
        <v>120</v>
      </c>
      <c r="F404" s="227" t="s">
        <v>45</v>
      </c>
      <c r="G404" s="233">
        <v>43685</v>
      </c>
      <c r="H404" s="231">
        <v>100</v>
      </c>
      <c r="I404" s="188">
        <v>340</v>
      </c>
      <c r="J404" s="188">
        <f t="shared" si="6"/>
        <v>34000</v>
      </c>
      <c r="K404" s="232">
        <v>43685</v>
      </c>
      <c r="L404" s="192"/>
      <c r="M404" s="250"/>
    </row>
    <row r="405" spans="1:13" s="229" customFormat="1" ht="13.5" customHeight="1" x14ac:dyDescent="0.3">
      <c r="A405" s="185" t="s">
        <v>1112</v>
      </c>
      <c r="B405" s="230" t="s">
        <v>359</v>
      </c>
      <c r="C405" s="187" t="s">
        <v>840</v>
      </c>
      <c r="D405" s="225" t="s">
        <v>1114</v>
      </c>
      <c r="E405" s="190">
        <v>150</v>
      </c>
      <c r="F405" s="227" t="s">
        <v>20</v>
      </c>
      <c r="G405" s="233">
        <v>43689</v>
      </c>
      <c r="H405" s="231">
        <v>216</v>
      </c>
      <c r="I405" s="188">
        <v>776</v>
      </c>
      <c r="J405" s="188">
        <f t="shared" si="6"/>
        <v>167616</v>
      </c>
      <c r="K405" s="232">
        <v>43689</v>
      </c>
      <c r="L405" s="192"/>
      <c r="M405" s="250"/>
    </row>
    <row r="406" spans="1:13" s="229" customFormat="1" ht="13.5" customHeight="1" x14ac:dyDescent="0.3">
      <c r="A406" s="185" t="s">
        <v>1118</v>
      </c>
      <c r="B406" s="230" t="s">
        <v>789</v>
      </c>
      <c r="C406" s="187" t="s">
        <v>840</v>
      </c>
      <c r="D406" s="225" t="s">
        <v>1120</v>
      </c>
      <c r="E406" s="190">
        <v>150</v>
      </c>
      <c r="F406" s="227" t="s">
        <v>20</v>
      </c>
      <c r="G406" s="233">
        <v>43689</v>
      </c>
      <c r="H406" s="231">
        <v>270</v>
      </c>
      <c r="I406" s="188">
        <v>125</v>
      </c>
      <c r="J406" s="188">
        <f t="shared" si="6"/>
        <v>33750</v>
      </c>
      <c r="K406" s="232">
        <v>43689</v>
      </c>
      <c r="L406" s="192"/>
      <c r="M406" s="250"/>
    </row>
    <row r="407" spans="1:13" s="229" customFormat="1" ht="13.5" customHeight="1" x14ac:dyDescent="0.3">
      <c r="A407" s="185" t="s">
        <v>1119</v>
      </c>
      <c r="B407" s="230" t="s">
        <v>789</v>
      </c>
      <c r="C407" s="187" t="s">
        <v>840</v>
      </c>
      <c r="D407" s="225" t="s">
        <v>1121</v>
      </c>
      <c r="E407" s="190">
        <v>150</v>
      </c>
      <c r="F407" s="227" t="s">
        <v>20</v>
      </c>
      <c r="G407" s="233">
        <v>43689</v>
      </c>
      <c r="H407" s="231">
        <v>499.7</v>
      </c>
      <c r="I407" s="188">
        <v>125</v>
      </c>
      <c r="J407" s="188">
        <f t="shared" si="6"/>
        <v>62462.5</v>
      </c>
      <c r="K407" s="232">
        <v>43689</v>
      </c>
      <c r="L407" s="192"/>
      <c r="M407" s="250"/>
    </row>
    <row r="408" spans="1:13" s="229" customFormat="1" ht="13.5" customHeight="1" x14ac:dyDescent="0.25">
      <c r="A408" s="185" t="s">
        <v>1282</v>
      </c>
      <c r="B408" s="230" t="s">
        <v>1291</v>
      </c>
      <c r="C408" s="187" t="s">
        <v>50</v>
      </c>
      <c r="D408" s="225" t="s">
        <v>1298</v>
      </c>
      <c r="E408" s="190" t="s">
        <v>5</v>
      </c>
      <c r="F408" s="227"/>
      <c r="G408" s="233">
        <v>43691</v>
      </c>
      <c r="H408" s="231">
        <v>168</v>
      </c>
      <c r="I408" s="188">
        <v>340</v>
      </c>
      <c r="J408" s="188">
        <f t="shared" si="6"/>
        <v>57120</v>
      </c>
      <c r="K408" s="232">
        <v>43691</v>
      </c>
      <c r="L408" s="192"/>
      <c r="M408" s="250"/>
    </row>
    <row r="409" spans="1:13" s="229" customFormat="1" ht="13.5" customHeight="1" x14ac:dyDescent="0.25">
      <c r="A409" s="185" t="s">
        <v>1283</v>
      </c>
      <c r="B409" s="230" t="s">
        <v>1291</v>
      </c>
      <c r="C409" s="187" t="s">
        <v>50</v>
      </c>
      <c r="D409" s="225" t="s">
        <v>1299</v>
      </c>
      <c r="E409" s="190" t="s">
        <v>5</v>
      </c>
      <c r="F409" s="227"/>
      <c r="G409" s="233">
        <v>43691</v>
      </c>
      <c r="H409" s="231">
        <v>120</v>
      </c>
      <c r="I409" s="188">
        <v>338</v>
      </c>
      <c r="J409" s="188">
        <f t="shared" si="6"/>
        <v>40560</v>
      </c>
      <c r="K409" s="232">
        <v>43691</v>
      </c>
      <c r="L409" s="192"/>
      <c r="M409" s="250"/>
    </row>
    <row r="410" spans="1:13" s="229" customFormat="1" ht="13.5" customHeight="1" x14ac:dyDescent="0.25">
      <c r="A410" s="185" t="s">
        <v>1273</v>
      </c>
      <c r="B410" s="230" t="s">
        <v>1274</v>
      </c>
      <c r="C410" s="187" t="s">
        <v>277</v>
      </c>
      <c r="D410" s="225" t="s">
        <v>1300</v>
      </c>
      <c r="E410" s="190" t="s">
        <v>5</v>
      </c>
      <c r="F410" s="227"/>
      <c r="G410" s="233">
        <v>43697</v>
      </c>
      <c r="H410" s="231">
        <v>115.2</v>
      </c>
      <c r="I410" s="188">
        <v>340</v>
      </c>
      <c r="J410" s="188">
        <f t="shared" si="6"/>
        <v>39168</v>
      </c>
      <c r="K410" s="232">
        <v>43698</v>
      </c>
      <c r="L410" s="192"/>
      <c r="M410" s="250"/>
    </row>
    <row r="411" spans="1:13" s="229" customFormat="1" ht="13.5" customHeight="1" x14ac:dyDescent="0.3">
      <c r="A411" s="185" t="s">
        <v>1155</v>
      </c>
      <c r="B411" s="230" t="s">
        <v>789</v>
      </c>
      <c r="C411" s="187" t="s">
        <v>280</v>
      </c>
      <c r="D411" s="225" t="s">
        <v>1201</v>
      </c>
      <c r="E411" s="190">
        <v>90</v>
      </c>
      <c r="F411" s="227" t="s">
        <v>20</v>
      </c>
      <c r="G411" s="233">
        <v>43697</v>
      </c>
      <c r="H411" s="231">
        <v>600</v>
      </c>
      <c r="I411" s="188">
        <v>123</v>
      </c>
      <c r="J411" s="188">
        <f t="shared" si="6"/>
        <v>73800</v>
      </c>
      <c r="K411" s="232">
        <v>43698</v>
      </c>
      <c r="L411" s="192"/>
      <c r="M411" s="250"/>
    </row>
    <row r="412" spans="1:13" s="229" customFormat="1" ht="13.5" customHeight="1" x14ac:dyDescent="0.3">
      <c r="A412" s="185" t="s">
        <v>1158</v>
      </c>
      <c r="B412" s="230" t="s">
        <v>14</v>
      </c>
      <c r="C412" s="187" t="s">
        <v>16</v>
      </c>
      <c r="D412" s="225" t="s">
        <v>1226</v>
      </c>
      <c r="E412" s="190">
        <v>90</v>
      </c>
      <c r="F412" s="227" t="s">
        <v>20</v>
      </c>
      <c r="G412" s="233">
        <v>43697</v>
      </c>
      <c r="H412" s="231">
        <v>155.4</v>
      </c>
      <c r="I412" s="188">
        <v>875</v>
      </c>
      <c r="J412" s="188">
        <f t="shared" si="6"/>
        <v>135975</v>
      </c>
      <c r="K412" s="232">
        <v>43698</v>
      </c>
      <c r="L412" s="192"/>
      <c r="M412" s="250"/>
    </row>
    <row r="413" spans="1:13" s="229" customFormat="1" ht="13.5" customHeight="1" x14ac:dyDescent="0.25">
      <c r="A413" s="185" t="s">
        <v>1276</v>
      </c>
      <c r="B413" s="230" t="s">
        <v>1239</v>
      </c>
      <c r="C413" s="187" t="s">
        <v>46</v>
      </c>
      <c r="D413" s="225" t="s">
        <v>552</v>
      </c>
      <c r="E413" s="190" t="s">
        <v>5</v>
      </c>
      <c r="F413" s="227"/>
      <c r="G413" s="233">
        <v>43697</v>
      </c>
      <c r="H413" s="231">
        <v>3000</v>
      </c>
      <c r="I413" s="188">
        <v>325</v>
      </c>
      <c r="J413" s="188">
        <f t="shared" si="6"/>
        <v>975000</v>
      </c>
      <c r="K413" s="232">
        <v>43698</v>
      </c>
      <c r="L413" s="192"/>
      <c r="M413" s="250"/>
    </row>
    <row r="414" spans="1:13" s="229" customFormat="1" ht="13.5" customHeight="1" x14ac:dyDescent="0.25">
      <c r="A414" s="185" t="s">
        <v>1275</v>
      </c>
      <c r="B414" s="230" t="s">
        <v>1240</v>
      </c>
      <c r="C414" s="187" t="s">
        <v>46</v>
      </c>
      <c r="D414" s="225" t="s">
        <v>552</v>
      </c>
      <c r="E414" s="190" t="s">
        <v>5</v>
      </c>
      <c r="F414" s="227"/>
      <c r="G414" s="233">
        <v>43697</v>
      </c>
      <c r="H414" s="231">
        <v>3500</v>
      </c>
      <c r="I414" s="188">
        <v>315</v>
      </c>
      <c r="J414" s="188">
        <f t="shared" si="6"/>
        <v>1102500</v>
      </c>
      <c r="K414" s="232">
        <v>43698</v>
      </c>
      <c r="L414" s="192"/>
      <c r="M414" s="250"/>
    </row>
    <row r="415" spans="1:13" s="234" customFormat="1" ht="13.5" customHeight="1" x14ac:dyDescent="0.3">
      <c r="A415" s="185" t="s">
        <v>1099</v>
      </c>
      <c r="B415" s="235" t="s">
        <v>241</v>
      </c>
      <c r="C415" s="187" t="s">
        <v>42</v>
      </c>
      <c r="D415" s="225" t="s">
        <v>1191</v>
      </c>
      <c r="E415" s="190">
        <v>90</v>
      </c>
      <c r="F415" s="227" t="s">
        <v>20</v>
      </c>
      <c r="G415" s="233">
        <v>43698</v>
      </c>
      <c r="H415" s="236">
        <v>139.72</v>
      </c>
      <c r="I415" s="188">
        <v>225</v>
      </c>
      <c r="J415" s="188">
        <f t="shared" si="6"/>
        <v>31437</v>
      </c>
      <c r="K415" s="232">
        <v>43700</v>
      </c>
      <c r="L415" s="192"/>
      <c r="M415" s="250"/>
    </row>
    <row r="416" spans="1:13" s="234" customFormat="1" ht="13.5" customHeight="1" x14ac:dyDescent="0.3">
      <c r="A416" s="185" t="s">
        <v>1100</v>
      </c>
      <c r="B416" s="235" t="s">
        <v>241</v>
      </c>
      <c r="C416" s="187" t="s">
        <v>42</v>
      </c>
      <c r="D416" s="225" t="s">
        <v>1192</v>
      </c>
      <c r="E416" s="190">
        <v>90</v>
      </c>
      <c r="F416" s="227" t="s">
        <v>20</v>
      </c>
      <c r="G416" s="233">
        <v>43698</v>
      </c>
      <c r="H416" s="236">
        <v>139.74</v>
      </c>
      <c r="I416" s="188">
        <v>225</v>
      </c>
      <c r="J416" s="188">
        <f t="shared" si="6"/>
        <v>31441.500000000004</v>
      </c>
      <c r="K416" s="232">
        <v>43700</v>
      </c>
      <c r="L416" s="192"/>
      <c r="M416" s="250"/>
    </row>
    <row r="417" spans="1:15" s="234" customFormat="1" ht="13.5" customHeight="1" x14ac:dyDescent="0.3">
      <c r="A417" s="185" t="s">
        <v>1159</v>
      </c>
      <c r="B417" s="235" t="s">
        <v>14</v>
      </c>
      <c r="C417" s="187" t="s">
        <v>16</v>
      </c>
      <c r="D417" s="225" t="s">
        <v>1227</v>
      </c>
      <c r="E417" s="190">
        <v>90</v>
      </c>
      <c r="F417" s="227" t="s">
        <v>20</v>
      </c>
      <c r="G417" s="233">
        <v>43699</v>
      </c>
      <c r="H417" s="236">
        <v>362.6</v>
      </c>
      <c r="I417" s="188">
        <v>885</v>
      </c>
      <c r="J417" s="188">
        <f t="shared" si="6"/>
        <v>320901</v>
      </c>
      <c r="K417" s="232">
        <v>43700</v>
      </c>
      <c r="L417" s="192"/>
      <c r="M417" s="250"/>
    </row>
    <row r="418" spans="1:15" s="234" customFormat="1" ht="13.5" customHeight="1" x14ac:dyDescent="0.3">
      <c r="A418" s="185" t="s">
        <v>1225</v>
      </c>
      <c r="B418" s="235" t="s">
        <v>32</v>
      </c>
      <c r="C418" s="187" t="s">
        <v>27</v>
      </c>
      <c r="D418" s="225" t="s">
        <v>552</v>
      </c>
      <c r="E418" s="190">
        <v>120</v>
      </c>
      <c r="F418" s="227" t="s">
        <v>20</v>
      </c>
      <c r="G418" s="233">
        <v>43697</v>
      </c>
      <c r="H418" s="236">
        <v>10450</v>
      </c>
      <c r="I418" s="188">
        <v>275.94</v>
      </c>
      <c r="J418" s="188">
        <f t="shared" si="6"/>
        <v>2883573</v>
      </c>
      <c r="K418" s="232">
        <v>43703</v>
      </c>
      <c r="L418" s="192"/>
      <c r="M418" s="250"/>
    </row>
    <row r="419" spans="1:15" s="234" customFormat="1" ht="13.5" customHeight="1" x14ac:dyDescent="0.3">
      <c r="A419" s="185" t="s">
        <v>1218</v>
      </c>
      <c r="B419" s="235" t="s">
        <v>28</v>
      </c>
      <c r="C419" s="187" t="s">
        <v>1036</v>
      </c>
      <c r="D419" s="225" t="s">
        <v>1301</v>
      </c>
      <c r="E419" s="190">
        <v>30</v>
      </c>
      <c r="F419" s="227" t="s">
        <v>20</v>
      </c>
      <c r="G419" s="233">
        <f>+K419+E419</f>
        <v>43733</v>
      </c>
      <c r="H419" s="236">
        <v>500.4</v>
      </c>
      <c r="I419" s="188">
        <v>240</v>
      </c>
      <c r="J419" s="188">
        <f t="shared" si="6"/>
        <v>120096</v>
      </c>
      <c r="K419" s="232">
        <v>43703</v>
      </c>
      <c r="L419" s="192"/>
      <c r="M419" s="250"/>
    </row>
    <row r="420" spans="1:15" s="245" customFormat="1" ht="13.5" customHeight="1" x14ac:dyDescent="0.25">
      <c r="A420" s="185" t="s">
        <v>1279</v>
      </c>
      <c r="B420" s="243" t="s">
        <v>33</v>
      </c>
      <c r="C420" s="187" t="s">
        <v>46</v>
      </c>
      <c r="D420" s="225" t="s">
        <v>552</v>
      </c>
      <c r="E420" s="190" t="s">
        <v>5</v>
      </c>
      <c r="F420" s="227"/>
      <c r="G420" s="233">
        <v>43713</v>
      </c>
      <c r="H420" s="244">
        <v>3000</v>
      </c>
      <c r="I420" s="188">
        <v>316.75</v>
      </c>
      <c r="J420" s="188">
        <f t="shared" si="6"/>
        <v>950250</v>
      </c>
      <c r="K420" s="232">
        <v>43713</v>
      </c>
      <c r="L420" s="192"/>
      <c r="M420" s="317"/>
      <c r="N420" s="246" t="s">
        <v>1334</v>
      </c>
      <c r="O420" s="246">
        <v>43710</v>
      </c>
    </row>
    <row r="421" spans="1:15" s="245" customFormat="1" ht="13.5" customHeight="1" x14ac:dyDescent="0.3">
      <c r="A421" s="185" t="s">
        <v>1280</v>
      </c>
      <c r="B421" s="243" t="s">
        <v>1242</v>
      </c>
      <c r="C421" s="187" t="s">
        <v>46</v>
      </c>
      <c r="D421" s="225" t="s">
        <v>552</v>
      </c>
      <c r="E421" s="190" t="s">
        <v>5</v>
      </c>
      <c r="F421" s="227"/>
      <c r="G421" s="233">
        <v>43713</v>
      </c>
      <c r="H421" s="244">
        <v>3667</v>
      </c>
      <c r="I421" s="188">
        <v>372</v>
      </c>
      <c r="J421" s="188">
        <f t="shared" si="6"/>
        <v>1364124</v>
      </c>
      <c r="K421" s="232">
        <v>43713</v>
      </c>
      <c r="L421" s="192"/>
      <c r="M421" s="317"/>
      <c r="N421" s="246" t="s">
        <v>1334</v>
      </c>
      <c r="O421" s="246">
        <v>43710</v>
      </c>
    </row>
    <row r="422" spans="1:15" s="245" customFormat="1" ht="13.5" customHeight="1" x14ac:dyDescent="0.25">
      <c r="A422" s="185" t="s">
        <v>1281</v>
      </c>
      <c r="B422" s="243" t="s">
        <v>1241</v>
      </c>
      <c r="C422" s="187" t="s">
        <v>46</v>
      </c>
      <c r="D422" s="225" t="s">
        <v>552</v>
      </c>
      <c r="E422" s="190" t="s">
        <v>5</v>
      </c>
      <c r="F422" s="227"/>
      <c r="G422" s="233">
        <v>43713</v>
      </c>
      <c r="H422" s="244">
        <v>9320</v>
      </c>
      <c r="I422" s="188">
        <v>147.5</v>
      </c>
      <c r="J422" s="188">
        <f t="shared" si="6"/>
        <v>1374700</v>
      </c>
      <c r="K422" s="232">
        <v>43713</v>
      </c>
      <c r="L422" s="192"/>
      <c r="M422" s="317"/>
      <c r="N422" s="246" t="s">
        <v>1334</v>
      </c>
      <c r="O422" s="246">
        <v>43710</v>
      </c>
    </row>
    <row r="423" spans="1:15" s="245" customFormat="1" ht="13.5" customHeight="1" x14ac:dyDescent="0.3">
      <c r="A423" s="185" t="s">
        <v>1153</v>
      </c>
      <c r="B423" s="243" t="s">
        <v>35</v>
      </c>
      <c r="C423" s="187" t="s">
        <v>7</v>
      </c>
      <c r="D423" s="225" t="s">
        <v>1230</v>
      </c>
      <c r="E423" s="190">
        <v>90</v>
      </c>
      <c r="F423" s="227" t="s">
        <v>20</v>
      </c>
      <c r="G423" s="233">
        <v>43712</v>
      </c>
      <c r="H423" s="244">
        <v>400</v>
      </c>
      <c r="I423" s="188">
        <v>640</v>
      </c>
      <c r="J423" s="188">
        <f t="shared" si="6"/>
        <v>256000</v>
      </c>
      <c r="K423" s="232">
        <v>43713</v>
      </c>
      <c r="L423" s="192" t="s">
        <v>499</v>
      </c>
      <c r="M423" s="317"/>
      <c r="N423" s="246" t="s">
        <v>1334</v>
      </c>
      <c r="O423" s="246">
        <v>43710</v>
      </c>
    </row>
    <row r="424" spans="1:15" s="247" customFormat="1" ht="13.5" customHeight="1" x14ac:dyDescent="0.3">
      <c r="A424" s="185" t="s">
        <v>1157</v>
      </c>
      <c r="B424" s="248" t="s">
        <v>14</v>
      </c>
      <c r="C424" s="187" t="s">
        <v>16</v>
      </c>
      <c r="D424" s="225" t="s">
        <v>1228</v>
      </c>
      <c r="E424" s="190">
        <v>90</v>
      </c>
      <c r="F424" s="227" t="s">
        <v>20</v>
      </c>
      <c r="G424" s="233">
        <v>43724</v>
      </c>
      <c r="H424" s="249">
        <v>207.2</v>
      </c>
      <c r="I424" s="188">
        <v>875</v>
      </c>
      <c r="J424" s="188">
        <f t="shared" si="6"/>
        <v>181300</v>
      </c>
      <c r="K424" s="232">
        <v>43725</v>
      </c>
      <c r="L424" s="192"/>
      <c r="M424" s="317"/>
      <c r="N424" s="246" t="s">
        <v>1334</v>
      </c>
      <c r="O424" s="246">
        <v>43710</v>
      </c>
    </row>
    <row r="425" spans="1:15" s="247" customFormat="1" ht="13.5" customHeight="1" x14ac:dyDescent="0.3">
      <c r="A425" s="185" t="s">
        <v>1154</v>
      </c>
      <c r="B425" s="248" t="s">
        <v>11</v>
      </c>
      <c r="C425" s="187" t="s">
        <v>7</v>
      </c>
      <c r="D425" s="225" t="s">
        <v>1231</v>
      </c>
      <c r="E425" s="190">
        <v>90</v>
      </c>
      <c r="F425" s="227" t="s">
        <v>20</v>
      </c>
      <c r="G425" s="233">
        <v>43724</v>
      </c>
      <c r="H425" s="249">
        <v>84</v>
      </c>
      <c r="I425" s="188">
        <v>297</v>
      </c>
      <c r="J425" s="188">
        <v>24948</v>
      </c>
      <c r="K425" s="232">
        <v>43725</v>
      </c>
      <c r="L425" s="192"/>
      <c r="M425" s="317"/>
      <c r="N425" s="246" t="s">
        <v>1334</v>
      </c>
      <c r="O425" s="246">
        <v>43721</v>
      </c>
    </row>
    <row r="426" spans="1:15" s="247" customFormat="1" ht="13.5" customHeight="1" x14ac:dyDescent="0.3">
      <c r="A426" s="185" t="s">
        <v>1181</v>
      </c>
      <c r="B426" s="248" t="s">
        <v>788</v>
      </c>
      <c r="C426" s="187" t="s">
        <v>7</v>
      </c>
      <c r="D426" s="225" t="s">
        <v>1233</v>
      </c>
      <c r="E426" s="190">
        <v>90</v>
      </c>
      <c r="F426" s="227" t="s">
        <v>20</v>
      </c>
      <c r="G426" s="233">
        <v>43724</v>
      </c>
      <c r="H426" s="249">
        <v>330</v>
      </c>
      <c r="I426" s="188">
        <v>200.97</v>
      </c>
      <c r="J426" s="188">
        <v>66320.100000000006</v>
      </c>
      <c r="K426" s="232">
        <v>43725</v>
      </c>
      <c r="L426" s="192"/>
      <c r="M426" s="317"/>
      <c r="N426" s="246" t="s">
        <v>1334</v>
      </c>
      <c r="O426" s="246">
        <v>43721</v>
      </c>
    </row>
    <row r="427" spans="1:15" s="247" customFormat="1" ht="13.5" customHeight="1" x14ac:dyDescent="0.25">
      <c r="A427" s="185" t="s">
        <v>1343</v>
      </c>
      <c r="B427" s="248" t="s">
        <v>1291</v>
      </c>
      <c r="C427" s="187" t="s">
        <v>50</v>
      </c>
      <c r="D427" s="225" t="s">
        <v>1351</v>
      </c>
      <c r="E427" s="190" t="s">
        <v>158</v>
      </c>
      <c r="F427" s="227"/>
      <c r="G427" s="233">
        <v>43728</v>
      </c>
      <c r="H427" s="249">
        <v>264</v>
      </c>
      <c r="I427" s="188">
        <v>327</v>
      </c>
      <c r="J427" s="188">
        <f>+I427*H427</f>
        <v>86328</v>
      </c>
      <c r="K427" s="232">
        <v>43728</v>
      </c>
      <c r="L427" s="192"/>
      <c r="M427" s="317"/>
      <c r="N427" s="246" t="s">
        <v>1350</v>
      </c>
      <c r="O427" s="246">
        <v>43726</v>
      </c>
    </row>
    <row r="428" spans="1:15" s="247" customFormat="1" ht="13.5" customHeight="1" x14ac:dyDescent="0.25">
      <c r="A428" s="185" t="s">
        <v>1344</v>
      </c>
      <c r="B428" s="248" t="s">
        <v>1291</v>
      </c>
      <c r="C428" s="187" t="s">
        <v>50</v>
      </c>
      <c r="D428" s="225" t="s">
        <v>1352</v>
      </c>
      <c r="E428" s="190" t="s">
        <v>158</v>
      </c>
      <c r="F428" s="227"/>
      <c r="G428" s="233">
        <v>43728</v>
      </c>
      <c r="H428" s="249">
        <v>264</v>
      </c>
      <c r="I428" s="188">
        <v>327</v>
      </c>
      <c r="J428" s="188">
        <f>+I428*H428</f>
        <v>86328</v>
      </c>
      <c r="K428" s="232">
        <v>43728</v>
      </c>
      <c r="L428" s="192"/>
      <c r="M428" s="317"/>
      <c r="N428" s="246" t="s">
        <v>1350</v>
      </c>
      <c r="O428" s="246">
        <v>43726</v>
      </c>
    </row>
    <row r="429" spans="1:15" s="247" customFormat="1" ht="13.5" customHeight="1" x14ac:dyDescent="0.25">
      <c r="A429" s="185" t="s">
        <v>1289</v>
      </c>
      <c r="B429" s="248" t="s">
        <v>1274</v>
      </c>
      <c r="C429" s="187" t="s">
        <v>277</v>
      </c>
      <c r="D429" s="225" t="s">
        <v>1353</v>
      </c>
      <c r="E429" s="190" t="s">
        <v>5</v>
      </c>
      <c r="F429" s="227"/>
      <c r="G429" s="233">
        <v>43725</v>
      </c>
      <c r="H429" s="249">
        <v>374.4</v>
      </c>
      <c r="I429" s="188">
        <v>340</v>
      </c>
      <c r="J429" s="188">
        <f>+I429*H429</f>
        <v>127295.99999999999</v>
      </c>
      <c r="K429" s="232">
        <v>43728</v>
      </c>
      <c r="L429" s="192"/>
      <c r="M429" s="317"/>
      <c r="N429" s="246" t="s">
        <v>1350</v>
      </c>
      <c r="O429" s="246">
        <v>43726</v>
      </c>
    </row>
    <row r="430" spans="1:15" s="247" customFormat="1" ht="13.5" customHeight="1" x14ac:dyDescent="0.3">
      <c r="A430" s="185" t="s">
        <v>1160</v>
      </c>
      <c r="B430" s="248" t="s">
        <v>14</v>
      </c>
      <c r="C430" s="187" t="s">
        <v>16</v>
      </c>
      <c r="D430" s="225" t="s">
        <v>1229</v>
      </c>
      <c r="E430" s="190">
        <v>90</v>
      </c>
      <c r="F430" s="227" t="s">
        <v>20</v>
      </c>
      <c r="G430" s="233">
        <v>43731</v>
      </c>
      <c r="H430" s="249">
        <v>310.8</v>
      </c>
      <c r="I430" s="188">
        <v>885</v>
      </c>
      <c r="J430" s="188">
        <f>+I430*H430</f>
        <v>275058</v>
      </c>
      <c r="K430" s="232">
        <v>43733</v>
      </c>
      <c r="L430" s="192"/>
      <c r="M430" s="317"/>
      <c r="N430" s="246" t="s">
        <v>1334</v>
      </c>
      <c r="O430" s="246">
        <v>43721</v>
      </c>
    </row>
    <row r="431" spans="1:15" s="247" customFormat="1" ht="13.5" customHeight="1" x14ac:dyDescent="0.3">
      <c r="A431" s="185" t="s">
        <v>1177</v>
      </c>
      <c r="B431" s="248" t="s">
        <v>4</v>
      </c>
      <c r="C431" s="187" t="s">
        <v>7</v>
      </c>
      <c r="D431" s="225" t="s">
        <v>1232</v>
      </c>
      <c r="E431" s="190">
        <v>90</v>
      </c>
      <c r="F431" s="227" t="s">
        <v>20</v>
      </c>
      <c r="G431" s="233">
        <v>43724</v>
      </c>
      <c r="H431" s="249">
        <v>329.4</v>
      </c>
      <c r="I431" s="188">
        <v>500</v>
      </c>
      <c r="J431" s="188">
        <v>164700</v>
      </c>
      <c r="K431" s="232">
        <v>43724</v>
      </c>
      <c r="L431" s="192" t="s">
        <v>499</v>
      </c>
      <c r="M431" s="317"/>
      <c r="N431" s="246"/>
      <c r="O431" s="246"/>
    </row>
    <row r="432" spans="1:15" s="247" customFormat="1" ht="13.5" customHeight="1" x14ac:dyDescent="0.3">
      <c r="A432" s="185" t="s">
        <v>1183</v>
      </c>
      <c r="B432" s="248" t="s">
        <v>4</v>
      </c>
      <c r="C432" s="187" t="s">
        <v>7</v>
      </c>
      <c r="D432" s="225" t="s">
        <v>1235</v>
      </c>
      <c r="E432" s="190">
        <v>90</v>
      </c>
      <c r="F432" s="227" t="s">
        <v>20</v>
      </c>
      <c r="G432" s="233">
        <v>43724</v>
      </c>
      <c r="H432" s="249">
        <v>149.85</v>
      </c>
      <c r="I432" s="188">
        <v>515</v>
      </c>
      <c r="J432" s="188">
        <v>77172.75</v>
      </c>
      <c r="K432" s="232">
        <v>43724</v>
      </c>
      <c r="L432" s="192" t="s">
        <v>499</v>
      </c>
      <c r="M432" s="317"/>
      <c r="N432" s="246"/>
      <c r="O432" s="246"/>
    </row>
    <row r="433" spans="1:15" s="247" customFormat="1" ht="13.5" customHeight="1" x14ac:dyDescent="0.3">
      <c r="A433" s="185" t="s">
        <v>1237</v>
      </c>
      <c r="B433" s="248" t="s">
        <v>6</v>
      </c>
      <c r="C433" s="187" t="s">
        <v>7</v>
      </c>
      <c r="D433" s="225" t="s">
        <v>1245</v>
      </c>
      <c r="E433" s="190">
        <v>90</v>
      </c>
      <c r="F433" s="227" t="s">
        <v>20</v>
      </c>
      <c r="G433" s="233">
        <v>43731</v>
      </c>
      <c r="H433" s="249">
        <v>550</v>
      </c>
      <c r="I433" s="188">
        <v>528.81500000000005</v>
      </c>
      <c r="J433" s="188">
        <v>290848.25000000006</v>
      </c>
      <c r="K433" s="232">
        <v>43731</v>
      </c>
      <c r="L433" s="192" t="s">
        <v>499</v>
      </c>
      <c r="M433" s="317"/>
      <c r="N433" s="246"/>
      <c r="O433" s="246"/>
    </row>
    <row r="434" spans="1:15" s="247" customFormat="1" ht="13.5" customHeight="1" x14ac:dyDescent="0.3">
      <c r="A434" s="185" t="s">
        <v>1156</v>
      </c>
      <c r="B434" s="248" t="s">
        <v>14</v>
      </c>
      <c r="C434" s="187" t="s">
        <v>928</v>
      </c>
      <c r="D434" s="225" t="s">
        <v>1253</v>
      </c>
      <c r="E434" s="190">
        <v>90</v>
      </c>
      <c r="F434" s="227" t="s">
        <v>20</v>
      </c>
      <c r="G434" s="233">
        <f>+E434+K434</f>
        <v>43734</v>
      </c>
      <c r="H434" s="249">
        <v>312</v>
      </c>
      <c r="I434" s="188">
        <v>879</v>
      </c>
      <c r="J434" s="188">
        <f t="shared" ref="J434:J441" si="7">+I434*H434</f>
        <v>274248</v>
      </c>
      <c r="K434" s="232">
        <v>43644</v>
      </c>
      <c r="L434" s="192"/>
      <c r="M434" s="317"/>
      <c r="N434" s="246" t="s">
        <v>1350</v>
      </c>
      <c r="O434" s="246">
        <v>43733</v>
      </c>
    </row>
    <row r="435" spans="1:15" s="247" customFormat="1" ht="13.5" customHeight="1" x14ac:dyDescent="0.3">
      <c r="A435" s="185" t="s">
        <v>1209</v>
      </c>
      <c r="B435" s="248" t="s">
        <v>789</v>
      </c>
      <c r="C435" s="187" t="s">
        <v>280</v>
      </c>
      <c r="D435" s="225" t="s">
        <v>1222</v>
      </c>
      <c r="E435" s="190">
        <v>90</v>
      </c>
      <c r="F435" s="227" t="s">
        <v>20</v>
      </c>
      <c r="G435" s="233">
        <v>43738</v>
      </c>
      <c r="H435" s="249">
        <v>514.79999999999995</v>
      </c>
      <c r="I435" s="188">
        <v>123</v>
      </c>
      <c r="J435" s="188">
        <f t="shared" si="7"/>
        <v>63320.399999999994</v>
      </c>
      <c r="K435" s="232">
        <v>43739</v>
      </c>
      <c r="L435" s="192"/>
      <c r="M435" s="317"/>
      <c r="N435" s="246" t="s">
        <v>1350</v>
      </c>
      <c r="O435" s="246">
        <v>43733</v>
      </c>
    </row>
    <row r="436" spans="1:15" s="247" customFormat="1" ht="13.5" customHeight="1" x14ac:dyDescent="0.3">
      <c r="A436" s="185" t="s">
        <v>1236</v>
      </c>
      <c r="B436" s="248" t="s">
        <v>6</v>
      </c>
      <c r="C436" s="187" t="s">
        <v>7</v>
      </c>
      <c r="D436" s="225" t="s">
        <v>1244</v>
      </c>
      <c r="E436" s="190">
        <v>90</v>
      </c>
      <c r="F436" s="227" t="s">
        <v>20</v>
      </c>
      <c r="G436" s="233">
        <v>43740</v>
      </c>
      <c r="H436" s="249">
        <v>600</v>
      </c>
      <c r="I436" s="188">
        <v>528.81500000000005</v>
      </c>
      <c r="J436" s="188">
        <f t="shared" si="7"/>
        <v>317289.00000000006</v>
      </c>
      <c r="K436" s="232">
        <v>43740</v>
      </c>
      <c r="L436" s="192" t="s">
        <v>499</v>
      </c>
      <c r="M436" s="317"/>
      <c r="N436" s="246"/>
      <c r="O436" s="246"/>
    </row>
    <row r="437" spans="1:15" s="247" customFormat="1" ht="13.5" customHeight="1" x14ac:dyDescent="0.3">
      <c r="A437" s="185" t="s">
        <v>1238</v>
      </c>
      <c r="B437" s="248" t="s">
        <v>6</v>
      </c>
      <c r="C437" s="187" t="s">
        <v>7</v>
      </c>
      <c r="D437" s="225" t="s">
        <v>1246</v>
      </c>
      <c r="E437" s="190">
        <v>90</v>
      </c>
      <c r="F437" s="227" t="s">
        <v>20</v>
      </c>
      <c r="G437" s="233">
        <v>43740</v>
      </c>
      <c r="H437" s="249">
        <v>550</v>
      </c>
      <c r="I437" s="188">
        <v>528.81500000000005</v>
      </c>
      <c r="J437" s="188">
        <f t="shared" si="7"/>
        <v>290848.25000000006</v>
      </c>
      <c r="K437" s="232">
        <v>43741</v>
      </c>
      <c r="L437" s="192"/>
      <c r="M437" s="317"/>
      <c r="N437" s="246" t="s">
        <v>1350</v>
      </c>
      <c r="O437" s="246">
        <v>43740</v>
      </c>
    </row>
    <row r="438" spans="1:15" s="247" customFormat="1" ht="13.5" customHeight="1" x14ac:dyDescent="0.3">
      <c r="A438" s="185" t="s">
        <v>1204</v>
      </c>
      <c r="B438" s="248" t="s">
        <v>241</v>
      </c>
      <c r="C438" s="187" t="s">
        <v>42</v>
      </c>
      <c r="D438" s="225" t="s">
        <v>1267</v>
      </c>
      <c r="E438" s="190">
        <v>90</v>
      </c>
      <c r="F438" s="227" t="s">
        <v>20</v>
      </c>
      <c r="G438" s="233">
        <v>43740</v>
      </c>
      <c r="H438" s="249">
        <v>139.80000000000001</v>
      </c>
      <c r="I438" s="188">
        <v>225</v>
      </c>
      <c r="J438" s="188">
        <f t="shared" si="7"/>
        <v>31455.000000000004</v>
      </c>
      <c r="K438" s="232">
        <v>43741</v>
      </c>
      <c r="L438" s="192"/>
      <c r="M438" s="317"/>
      <c r="N438" s="246" t="s">
        <v>1350</v>
      </c>
      <c r="O438" s="246">
        <v>43740</v>
      </c>
    </row>
    <row r="439" spans="1:15" s="247" customFormat="1" ht="13.5" customHeight="1" x14ac:dyDescent="0.3">
      <c r="A439" s="185" t="s">
        <v>1205</v>
      </c>
      <c r="B439" s="248" t="s">
        <v>241</v>
      </c>
      <c r="C439" s="187" t="s">
        <v>42</v>
      </c>
      <c r="D439" s="225" t="s">
        <v>1268</v>
      </c>
      <c r="E439" s="190">
        <v>90</v>
      </c>
      <c r="F439" s="227" t="s">
        <v>20</v>
      </c>
      <c r="G439" s="233">
        <v>43740</v>
      </c>
      <c r="H439" s="249">
        <v>139.63999999999999</v>
      </c>
      <c r="I439" s="188">
        <v>225</v>
      </c>
      <c r="J439" s="188">
        <f t="shared" si="7"/>
        <v>31418.999999999996</v>
      </c>
      <c r="K439" s="232">
        <v>43741</v>
      </c>
      <c r="L439" s="192"/>
      <c r="M439" s="317"/>
      <c r="N439" s="246" t="s">
        <v>1350</v>
      </c>
      <c r="O439" s="246">
        <v>43740</v>
      </c>
    </row>
    <row r="440" spans="1:15" s="247" customFormat="1" ht="13.5" customHeight="1" x14ac:dyDescent="0.3">
      <c r="A440" s="185" t="s">
        <v>1203</v>
      </c>
      <c r="B440" s="248" t="s">
        <v>748</v>
      </c>
      <c r="C440" s="187" t="s">
        <v>245</v>
      </c>
      <c r="D440" s="225" t="s">
        <v>1266</v>
      </c>
      <c r="E440" s="190">
        <v>90</v>
      </c>
      <c r="F440" s="227" t="s">
        <v>20</v>
      </c>
      <c r="G440" s="233">
        <v>43742</v>
      </c>
      <c r="H440" s="249">
        <v>192</v>
      </c>
      <c r="I440" s="188">
        <v>705</v>
      </c>
      <c r="J440" s="188">
        <f t="shared" si="7"/>
        <v>135360</v>
      </c>
      <c r="K440" s="232">
        <v>43745</v>
      </c>
      <c r="L440" s="192"/>
      <c r="M440" s="317"/>
      <c r="N440" s="246" t="s">
        <v>1350</v>
      </c>
      <c r="O440" s="246">
        <v>43740</v>
      </c>
    </row>
    <row r="441" spans="1:15" s="247" customFormat="1" ht="13.5" customHeight="1" x14ac:dyDescent="0.3">
      <c r="A441" s="185" t="s">
        <v>1211</v>
      </c>
      <c r="B441" s="248" t="s">
        <v>13</v>
      </c>
      <c r="C441" s="187" t="s">
        <v>7</v>
      </c>
      <c r="D441" s="225" t="s">
        <v>1248</v>
      </c>
      <c r="E441" s="190">
        <v>90</v>
      </c>
      <c r="F441" s="227" t="s">
        <v>20</v>
      </c>
      <c r="G441" s="233">
        <v>43742</v>
      </c>
      <c r="H441" s="249">
        <v>108</v>
      </c>
      <c r="I441" s="188">
        <v>552</v>
      </c>
      <c r="J441" s="188">
        <f t="shared" si="7"/>
        <v>59616</v>
      </c>
      <c r="K441" s="232">
        <v>43745</v>
      </c>
      <c r="L441" s="192"/>
      <c r="M441" s="317"/>
      <c r="N441" s="246" t="s">
        <v>1350</v>
      </c>
      <c r="O441" s="246">
        <v>43740</v>
      </c>
    </row>
    <row r="442" spans="1:15" s="247" customFormat="1" ht="13.5" customHeight="1" x14ac:dyDescent="0.3">
      <c r="A442" s="185" t="s">
        <v>1178</v>
      </c>
      <c r="B442" s="248" t="s">
        <v>35</v>
      </c>
      <c r="C442" s="187" t="s">
        <v>7</v>
      </c>
      <c r="D442" s="225" t="s">
        <v>1243</v>
      </c>
      <c r="E442" s="190">
        <v>90</v>
      </c>
      <c r="F442" s="227" t="s">
        <v>20</v>
      </c>
      <c r="G442" s="233">
        <v>43745</v>
      </c>
      <c r="H442" s="249">
        <v>325</v>
      </c>
      <c r="I442" s="188">
        <v>672</v>
      </c>
      <c r="J442" s="188">
        <v>218400</v>
      </c>
      <c r="K442" s="232">
        <v>43747</v>
      </c>
      <c r="L442" s="192"/>
      <c r="M442" s="317"/>
      <c r="N442" s="246" t="s">
        <v>1350</v>
      </c>
      <c r="O442" s="246">
        <v>43733</v>
      </c>
    </row>
    <row r="443" spans="1:15" s="247" customFormat="1" ht="13.5" customHeight="1" x14ac:dyDescent="0.3">
      <c r="A443" s="185" t="s">
        <v>1206</v>
      </c>
      <c r="B443" s="248" t="s">
        <v>241</v>
      </c>
      <c r="C443" s="187" t="s">
        <v>42</v>
      </c>
      <c r="D443" s="225" t="s">
        <v>1269</v>
      </c>
      <c r="E443" s="190">
        <v>90</v>
      </c>
      <c r="F443" s="227" t="s">
        <v>20</v>
      </c>
      <c r="G443" s="233">
        <v>43745</v>
      </c>
      <c r="H443" s="249">
        <v>167.8</v>
      </c>
      <c r="I443" s="188">
        <v>225</v>
      </c>
      <c r="J443" s="188">
        <v>37755</v>
      </c>
      <c r="K443" s="232">
        <v>43747</v>
      </c>
      <c r="L443" s="192"/>
      <c r="M443" s="317"/>
      <c r="N443" s="246" t="s">
        <v>1334</v>
      </c>
      <c r="O443" s="246">
        <v>43741</v>
      </c>
    </row>
    <row r="444" spans="1:15" s="247" customFormat="1" ht="13.5" customHeight="1" x14ac:dyDescent="0.3">
      <c r="A444" s="185" t="s">
        <v>1207</v>
      </c>
      <c r="B444" s="248" t="s">
        <v>241</v>
      </c>
      <c r="C444" s="187" t="s">
        <v>42</v>
      </c>
      <c r="D444" s="225" t="s">
        <v>1270</v>
      </c>
      <c r="E444" s="190">
        <v>90</v>
      </c>
      <c r="F444" s="227" t="s">
        <v>20</v>
      </c>
      <c r="G444" s="233">
        <v>43745</v>
      </c>
      <c r="H444" s="249">
        <v>167.82</v>
      </c>
      <c r="I444" s="188">
        <v>225</v>
      </c>
      <c r="J444" s="188">
        <v>37759.5</v>
      </c>
      <c r="K444" s="232">
        <v>43747</v>
      </c>
      <c r="L444" s="192"/>
      <c r="M444" s="317"/>
      <c r="N444" s="246" t="s">
        <v>1334</v>
      </c>
      <c r="O444" s="246">
        <v>43741</v>
      </c>
    </row>
    <row r="445" spans="1:15" s="247" customFormat="1" ht="13.5" customHeight="1" x14ac:dyDescent="0.3">
      <c r="A445" s="185" t="s">
        <v>1182</v>
      </c>
      <c r="B445" s="248" t="s">
        <v>6</v>
      </c>
      <c r="C445" s="187" t="s">
        <v>7</v>
      </c>
      <c r="D445" s="225" t="s">
        <v>1234</v>
      </c>
      <c r="E445" s="190">
        <v>90</v>
      </c>
      <c r="F445" s="227" t="s">
        <v>20</v>
      </c>
      <c r="G445" s="233">
        <v>43747</v>
      </c>
      <c r="H445" s="249">
        <v>320</v>
      </c>
      <c r="I445" s="188">
        <v>534</v>
      </c>
      <c r="J445" s="188">
        <f>+I445*H445</f>
        <v>170880</v>
      </c>
      <c r="K445" s="232">
        <v>43747</v>
      </c>
      <c r="L445" s="192" t="s">
        <v>499</v>
      </c>
      <c r="M445" s="317"/>
      <c r="N445" s="246"/>
      <c r="O445" s="246"/>
    </row>
    <row r="446" spans="1:15" s="247" customFormat="1" ht="13.5" customHeight="1" x14ac:dyDescent="0.3">
      <c r="A446" s="185" t="s">
        <v>1184</v>
      </c>
      <c r="B446" s="248" t="s">
        <v>6</v>
      </c>
      <c r="C446" s="187" t="s">
        <v>7</v>
      </c>
      <c r="D446" s="225" t="s">
        <v>1247</v>
      </c>
      <c r="E446" s="190">
        <v>90</v>
      </c>
      <c r="F446" s="227" t="s">
        <v>20</v>
      </c>
      <c r="G446" s="233">
        <v>43748</v>
      </c>
      <c r="H446" s="249">
        <v>324</v>
      </c>
      <c r="I446" s="188">
        <v>506.49</v>
      </c>
      <c r="J446" s="188">
        <f>+I446*H446</f>
        <v>164102.76</v>
      </c>
      <c r="K446" s="232">
        <v>43748</v>
      </c>
      <c r="L446" s="192"/>
      <c r="M446" s="317"/>
      <c r="N446" s="246" t="s">
        <v>1334</v>
      </c>
      <c r="O446" s="246">
        <v>43741</v>
      </c>
    </row>
    <row r="447" spans="1:15" s="247" customFormat="1" ht="13.5" customHeight="1" x14ac:dyDescent="0.3">
      <c r="A447" s="185" t="s">
        <v>1255</v>
      </c>
      <c r="B447" s="248" t="s">
        <v>14</v>
      </c>
      <c r="C447" s="187" t="s">
        <v>928</v>
      </c>
      <c r="D447" s="225" t="s">
        <v>1254</v>
      </c>
      <c r="E447" s="190">
        <v>90</v>
      </c>
      <c r="F447" s="227" t="s">
        <v>20</v>
      </c>
      <c r="G447" s="233">
        <v>43749</v>
      </c>
      <c r="H447" s="249">
        <v>240</v>
      </c>
      <c r="I447" s="188">
        <v>889</v>
      </c>
      <c r="J447" s="188">
        <f>+I447*H447</f>
        <v>213360</v>
      </c>
      <c r="K447" s="232">
        <v>43749</v>
      </c>
      <c r="L447" s="192" t="s">
        <v>1359</v>
      </c>
      <c r="M447" s="317"/>
      <c r="N447" s="246" t="s">
        <v>1334</v>
      </c>
      <c r="O447" s="246">
        <v>43741</v>
      </c>
    </row>
    <row r="448" spans="1:15" s="247" customFormat="1" ht="13.5" customHeight="1" x14ac:dyDescent="0.25">
      <c r="A448" s="185" t="s">
        <v>514</v>
      </c>
      <c r="B448" s="248" t="s">
        <v>1360</v>
      </c>
      <c r="C448" s="187" t="s">
        <v>928</v>
      </c>
      <c r="D448" s="225" t="s">
        <v>1361</v>
      </c>
      <c r="E448" s="190"/>
      <c r="F448" s="227"/>
      <c r="G448" s="233">
        <v>43749</v>
      </c>
      <c r="H448" s="249"/>
      <c r="I448" s="188"/>
      <c r="J448" s="188">
        <v>-50000</v>
      </c>
      <c r="K448" s="232">
        <v>43749</v>
      </c>
      <c r="L448" s="192" t="s">
        <v>514</v>
      </c>
      <c r="M448" s="317"/>
      <c r="N448" s="246"/>
      <c r="O448" s="246"/>
    </row>
    <row r="449" spans="1:15" s="247" customFormat="1" ht="13.5" customHeight="1" x14ac:dyDescent="0.3">
      <c r="A449" s="185" t="s">
        <v>1214</v>
      </c>
      <c r="B449" s="248" t="s">
        <v>4</v>
      </c>
      <c r="C449" s="187" t="s">
        <v>816</v>
      </c>
      <c r="D449" s="225" t="s">
        <v>1354</v>
      </c>
      <c r="E449" s="190">
        <v>60</v>
      </c>
      <c r="F449" s="227" t="s">
        <v>20</v>
      </c>
      <c r="G449" s="233">
        <v>43753</v>
      </c>
      <c r="H449" s="249">
        <v>400</v>
      </c>
      <c r="I449" s="188">
        <v>482.17</v>
      </c>
      <c r="J449" s="188">
        <f>+I449*H449</f>
        <v>192868</v>
      </c>
      <c r="K449" s="232">
        <v>43753</v>
      </c>
      <c r="L449" s="192"/>
      <c r="M449" s="317"/>
      <c r="N449" s="246" t="s">
        <v>1334</v>
      </c>
      <c r="O449" s="246">
        <v>43752</v>
      </c>
    </row>
    <row r="450" spans="1:15" s="247" customFormat="1" ht="13.5" customHeight="1" x14ac:dyDescent="0.3">
      <c r="A450" s="185" t="s">
        <v>1217</v>
      </c>
      <c r="B450" s="248" t="s">
        <v>6</v>
      </c>
      <c r="C450" s="187" t="s">
        <v>816</v>
      </c>
      <c r="D450" s="225" t="s">
        <v>1307</v>
      </c>
      <c r="E450" s="190">
        <v>60</v>
      </c>
      <c r="F450" s="227" t="s">
        <v>20</v>
      </c>
      <c r="G450" s="233">
        <v>43753</v>
      </c>
      <c r="H450" s="249">
        <v>224</v>
      </c>
      <c r="I450" s="188">
        <v>467.01</v>
      </c>
      <c r="J450" s="188">
        <f>+I450*H450</f>
        <v>104610.23999999999</v>
      </c>
      <c r="K450" s="232">
        <v>43755</v>
      </c>
      <c r="L450" s="192"/>
      <c r="M450" s="317"/>
      <c r="N450" s="246" t="s">
        <v>1334</v>
      </c>
      <c r="O450" s="246">
        <v>43754</v>
      </c>
    </row>
    <row r="451" spans="1:15" s="247" customFormat="1" ht="13.5" customHeight="1" x14ac:dyDescent="0.25">
      <c r="A451" s="185" t="s">
        <v>1378</v>
      </c>
      <c r="B451" s="248" t="s">
        <v>1384</v>
      </c>
      <c r="C451" s="187" t="s">
        <v>1385</v>
      </c>
      <c r="D451" s="225" t="s">
        <v>1391</v>
      </c>
      <c r="E451" s="190" t="s">
        <v>158</v>
      </c>
      <c r="F451" s="227"/>
      <c r="G451" s="233">
        <v>43760</v>
      </c>
      <c r="H451" s="249">
        <v>0.5</v>
      </c>
      <c r="I451" s="188">
        <v>3933.5</v>
      </c>
      <c r="J451" s="188">
        <f>+I451*H451</f>
        <v>1966.75</v>
      </c>
      <c r="K451" s="232">
        <v>43755</v>
      </c>
      <c r="L451" s="192"/>
      <c r="M451" s="317"/>
      <c r="N451" s="246"/>
      <c r="O451" s="246"/>
    </row>
    <row r="452" spans="1:15" s="247" customFormat="1" ht="13.5" customHeight="1" x14ac:dyDescent="0.3">
      <c r="A452" s="185" t="s">
        <v>1212</v>
      </c>
      <c r="B452" s="248" t="s">
        <v>13</v>
      </c>
      <c r="C452" s="187" t="s">
        <v>7</v>
      </c>
      <c r="D452" s="225" t="s">
        <v>1305</v>
      </c>
      <c r="E452" s="190">
        <v>90</v>
      </c>
      <c r="F452" s="227" t="s">
        <v>20</v>
      </c>
      <c r="G452" s="233">
        <f>+K452+E452</f>
        <v>43756</v>
      </c>
      <c r="H452" s="249">
        <v>324</v>
      </c>
      <c r="I452" s="188">
        <v>557</v>
      </c>
      <c r="J452" s="188">
        <f>+I452*H452</f>
        <v>180468</v>
      </c>
      <c r="K452" s="232">
        <v>43666</v>
      </c>
      <c r="L452" s="192"/>
      <c r="M452" s="317"/>
      <c r="N452" s="246" t="s">
        <v>1350</v>
      </c>
      <c r="O452" s="246">
        <v>43756</v>
      </c>
    </row>
    <row r="453" spans="1:15" s="247" customFormat="1" ht="13.5" customHeight="1" x14ac:dyDescent="0.25">
      <c r="A453" s="185" t="s">
        <v>514</v>
      </c>
      <c r="B453" s="248" t="s">
        <v>13</v>
      </c>
      <c r="C453" s="187" t="s">
        <v>7</v>
      </c>
      <c r="D453" s="225" t="s">
        <v>1392</v>
      </c>
      <c r="E453" s="190"/>
      <c r="F453" s="227"/>
      <c r="G453" s="233">
        <v>43756</v>
      </c>
      <c r="H453" s="249"/>
      <c r="I453" s="188"/>
      <c r="J453" s="188">
        <v>-813.59</v>
      </c>
      <c r="K453" s="232">
        <v>43666</v>
      </c>
      <c r="L453" s="192"/>
      <c r="M453" s="317"/>
      <c r="N453" s="246" t="s">
        <v>1350</v>
      </c>
      <c r="O453" s="246">
        <v>43756</v>
      </c>
    </row>
    <row r="454" spans="1:15" s="247" customFormat="1" ht="13.5" customHeight="1" x14ac:dyDescent="0.3">
      <c r="A454" s="185" t="s">
        <v>1186</v>
      </c>
      <c r="B454" s="248" t="s">
        <v>11</v>
      </c>
      <c r="C454" s="187" t="s">
        <v>816</v>
      </c>
      <c r="D454" s="225" t="s">
        <v>1303</v>
      </c>
      <c r="E454" s="190">
        <v>60</v>
      </c>
      <c r="F454" s="227" t="s">
        <v>20</v>
      </c>
      <c r="G454" s="233">
        <v>43760</v>
      </c>
      <c r="H454" s="249">
        <v>168</v>
      </c>
      <c r="I454" s="188">
        <v>257.76</v>
      </c>
      <c r="J454" s="188">
        <v>43303.68</v>
      </c>
      <c r="K454" s="232">
        <v>43759</v>
      </c>
      <c r="L454" s="192"/>
      <c r="M454" s="317"/>
      <c r="N454" s="246" t="s">
        <v>1350</v>
      </c>
      <c r="O454" s="246">
        <v>43756</v>
      </c>
    </row>
    <row r="455" spans="1:15" s="247" customFormat="1" ht="13.5" customHeight="1" x14ac:dyDescent="0.25">
      <c r="A455" s="185" t="s">
        <v>514</v>
      </c>
      <c r="B455" s="248" t="s">
        <v>11</v>
      </c>
      <c r="C455" s="187" t="s">
        <v>816</v>
      </c>
      <c r="D455" s="225" t="s">
        <v>1393</v>
      </c>
      <c r="E455" s="190"/>
      <c r="F455" s="227"/>
      <c r="G455" s="233">
        <v>43760</v>
      </c>
      <c r="H455" s="249"/>
      <c r="I455" s="188"/>
      <c r="J455" s="188">
        <v>-3329.12</v>
      </c>
      <c r="K455" s="232">
        <v>43759</v>
      </c>
      <c r="L455" s="192"/>
      <c r="M455" s="317"/>
      <c r="N455" s="246" t="s">
        <v>1350</v>
      </c>
      <c r="O455" s="246">
        <v>43756</v>
      </c>
    </row>
    <row r="456" spans="1:15" s="247" customFormat="1" ht="13.5" customHeight="1" x14ac:dyDescent="0.3">
      <c r="A456" s="185" t="s">
        <v>1216</v>
      </c>
      <c r="B456" s="248" t="s">
        <v>6</v>
      </c>
      <c r="C456" s="187" t="s">
        <v>816</v>
      </c>
      <c r="D456" s="225" t="s">
        <v>1307</v>
      </c>
      <c r="E456" s="190">
        <v>60</v>
      </c>
      <c r="F456" s="227" t="s">
        <v>20</v>
      </c>
      <c r="G456" s="233">
        <v>43759</v>
      </c>
      <c r="H456" s="249">
        <v>100</v>
      </c>
      <c r="I456" s="188">
        <v>467.01</v>
      </c>
      <c r="J456" s="188">
        <v>46701</v>
      </c>
      <c r="K456" s="232">
        <v>43759</v>
      </c>
      <c r="L456" s="192"/>
      <c r="M456" s="317"/>
      <c r="N456" s="246" t="s">
        <v>1334</v>
      </c>
      <c r="O456" s="246">
        <v>43759</v>
      </c>
    </row>
    <row r="457" spans="1:15" s="247" customFormat="1" ht="13.5" customHeight="1" x14ac:dyDescent="0.25">
      <c r="A457" s="185" t="s">
        <v>1341</v>
      </c>
      <c r="B457" s="248" t="s">
        <v>1274</v>
      </c>
      <c r="C457" s="187" t="s">
        <v>277</v>
      </c>
      <c r="D457" s="225" t="s">
        <v>1390</v>
      </c>
      <c r="E457" s="190" t="s">
        <v>5</v>
      </c>
      <c r="F457" s="227"/>
      <c r="G457" s="233">
        <v>43760</v>
      </c>
      <c r="H457" s="249">
        <v>374.4</v>
      </c>
      <c r="I457" s="188">
        <v>320</v>
      </c>
      <c r="J457" s="188">
        <f t="shared" ref="J457:J468" si="8">+I457*H457</f>
        <v>119808</v>
      </c>
      <c r="K457" s="232">
        <v>43761</v>
      </c>
      <c r="L457" s="192"/>
      <c r="M457" s="317"/>
      <c r="N457" s="246" t="s">
        <v>1350</v>
      </c>
      <c r="O457" s="246">
        <v>43756</v>
      </c>
    </row>
    <row r="458" spans="1:15" s="247" customFormat="1" ht="13.5" customHeight="1" x14ac:dyDescent="0.3">
      <c r="A458" s="185" t="s">
        <v>1174</v>
      </c>
      <c r="B458" s="248" t="s">
        <v>1258</v>
      </c>
      <c r="C458" s="187" t="s">
        <v>1185</v>
      </c>
      <c r="D458" s="225" t="s">
        <v>1263</v>
      </c>
      <c r="E458" s="190">
        <v>60</v>
      </c>
      <c r="F458" s="227" t="s">
        <v>20</v>
      </c>
      <c r="G458" s="233">
        <v>43762</v>
      </c>
      <c r="H458" s="249">
        <v>2.88</v>
      </c>
      <c r="I458" s="188">
        <v>2550</v>
      </c>
      <c r="J458" s="188">
        <f t="shared" si="8"/>
        <v>7344</v>
      </c>
      <c r="K458" s="232">
        <v>43761</v>
      </c>
      <c r="L458" s="192"/>
      <c r="M458" s="317"/>
      <c r="N458" s="246" t="s">
        <v>1350</v>
      </c>
      <c r="O458" s="246">
        <v>43756</v>
      </c>
    </row>
    <row r="459" spans="1:15" s="247" customFormat="1" ht="13.5" customHeight="1" x14ac:dyDescent="0.3">
      <c r="A459" s="185" t="s">
        <v>1175</v>
      </c>
      <c r="B459" s="248" t="s">
        <v>1259</v>
      </c>
      <c r="C459" s="187" t="s">
        <v>1185</v>
      </c>
      <c r="D459" s="225" t="s">
        <v>1263</v>
      </c>
      <c r="E459" s="190">
        <v>60</v>
      </c>
      <c r="F459" s="227" t="s">
        <v>20</v>
      </c>
      <c r="G459" s="233">
        <v>43762</v>
      </c>
      <c r="H459" s="249">
        <v>2.16</v>
      </c>
      <c r="I459" s="188">
        <v>2550</v>
      </c>
      <c r="J459" s="188">
        <f t="shared" si="8"/>
        <v>5508</v>
      </c>
      <c r="K459" s="232">
        <v>43761</v>
      </c>
      <c r="L459" s="192"/>
      <c r="M459" s="317"/>
      <c r="N459" s="246" t="s">
        <v>1350</v>
      </c>
      <c r="O459" s="246">
        <v>43756</v>
      </c>
    </row>
    <row r="460" spans="1:15" s="247" customFormat="1" ht="13.5" customHeight="1" x14ac:dyDescent="0.3">
      <c r="A460" s="185" t="s">
        <v>1257</v>
      </c>
      <c r="B460" s="248" t="s">
        <v>1260</v>
      </c>
      <c r="C460" s="187" t="s">
        <v>1185</v>
      </c>
      <c r="D460" s="225" t="s">
        <v>1263</v>
      </c>
      <c r="E460" s="190">
        <v>60</v>
      </c>
      <c r="F460" s="227" t="s">
        <v>20</v>
      </c>
      <c r="G460" s="233">
        <v>43762</v>
      </c>
      <c r="H460" s="249">
        <v>0.72</v>
      </c>
      <c r="I460" s="188">
        <v>0</v>
      </c>
      <c r="J460" s="188">
        <f t="shared" si="8"/>
        <v>0</v>
      </c>
      <c r="K460" s="232">
        <v>43761</v>
      </c>
      <c r="L460" s="192"/>
      <c r="M460" s="317"/>
      <c r="N460" s="246" t="s">
        <v>1350</v>
      </c>
      <c r="O460" s="246">
        <v>43756</v>
      </c>
    </row>
    <row r="461" spans="1:15" s="247" customFormat="1" ht="13.5" customHeight="1" x14ac:dyDescent="0.3">
      <c r="A461" s="185" t="s">
        <v>1176</v>
      </c>
      <c r="B461" s="248" t="s">
        <v>1261</v>
      </c>
      <c r="C461" s="187" t="s">
        <v>1185</v>
      </c>
      <c r="D461" s="225" t="s">
        <v>1263</v>
      </c>
      <c r="E461" s="190">
        <v>60</v>
      </c>
      <c r="F461" s="227" t="s">
        <v>20</v>
      </c>
      <c r="G461" s="233">
        <v>43762</v>
      </c>
      <c r="H461" s="249">
        <v>0.72</v>
      </c>
      <c r="I461" s="188">
        <v>0</v>
      </c>
      <c r="J461" s="188">
        <f t="shared" si="8"/>
        <v>0</v>
      </c>
      <c r="K461" s="232">
        <v>43761</v>
      </c>
      <c r="L461" s="192"/>
      <c r="M461" s="317"/>
      <c r="N461" s="246" t="s">
        <v>1350</v>
      </c>
      <c r="O461" s="246">
        <v>43756</v>
      </c>
    </row>
    <row r="462" spans="1:15" s="247" customFormat="1" ht="13.5" customHeight="1" x14ac:dyDescent="0.3">
      <c r="A462" s="185" t="s">
        <v>1264</v>
      </c>
      <c r="B462" s="248" t="s">
        <v>1262</v>
      </c>
      <c r="C462" s="187" t="s">
        <v>1185</v>
      </c>
      <c r="D462" s="225" t="s">
        <v>1263</v>
      </c>
      <c r="E462" s="190">
        <v>60</v>
      </c>
      <c r="F462" s="227" t="s">
        <v>20</v>
      </c>
      <c r="G462" s="233">
        <v>43762</v>
      </c>
      <c r="H462" s="249">
        <v>0.72</v>
      </c>
      <c r="I462" s="188">
        <v>0</v>
      </c>
      <c r="J462" s="188">
        <f t="shared" si="8"/>
        <v>0</v>
      </c>
      <c r="K462" s="232">
        <v>43761</v>
      </c>
      <c r="L462" s="192"/>
      <c r="M462" s="317"/>
      <c r="N462" s="246" t="s">
        <v>1350</v>
      </c>
      <c r="O462" s="246">
        <v>43756</v>
      </c>
    </row>
    <row r="463" spans="1:15" s="247" customFormat="1" ht="13.5" customHeight="1" x14ac:dyDescent="0.25">
      <c r="A463" s="185" t="s">
        <v>1382</v>
      </c>
      <c r="B463" s="248" t="s">
        <v>1291</v>
      </c>
      <c r="C463" s="187" t="s">
        <v>1389</v>
      </c>
      <c r="D463" s="225" t="s">
        <v>1395</v>
      </c>
      <c r="E463" s="190" t="s">
        <v>158</v>
      </c>
      <c r="F463" s="227"/>
      <c r="G463" s="233">
        <f>+K463+3</f>
        <v>43763</v>
      </c>
      <c r="H463" s="249">
        <v>264</v>
      </c>
      <c r="I463" s="188">
        <v>327</v>
      </c>
      <c r="J463" s="188">
        <f t="shared" si="8"/>
        <v>86328</v>
      </c>
      <c r="K463" s="232">
        <v>43760</v>
      </c>
      <c r="L463" s="192"/>
      <c r="M463" s="317"/>
      <c r="N463" s="246" t="s">
        <v>1334</v>
      </c>
      <c r="O463" s="246">
        <v>43761</v>
      </c>
    </row>
    <row r="464" spans="1:15" s="247" customFormat="1" ht="13.5" customHeight="1" x14ac:dyDescent="0.25">
      <c r="A464" s="185" t="s">
        <v>1383</v>
      </c>
      <c r="B464" s="248" t="s">
        <v>1291</v>
      </c>
      <c r="C464" s="187" t="s">
        <v>1389</v>
      </c>
      <c r="D464" s="225" t="s">
        <v>1396</v>
      </c>
      <c r="E464" s="190" t="s">
        <v>158</v>
      </c>
      <c r="F464" s="227"/>
      <c r="G464" s="233">
        <f>+K464+3</f>
        <v>43763</v>
      </c>
      <c r="H464" s="249">
        <v>264</v>
      </c>
      <c r="I464" s="188">
        <v>327</v>
      </c>
      <c r="J464" s="188">
        <f t="shared" si="8"/>
        <v>86328</v>
      </c>
      <c r="K464" s="232">
        <v>43760</v>
      </c>
      <c r="L464" s="192"/>
      <c r="M464" s="317"/>
      <c r="N464" s="246" t="s">
        <v>1334</v>
      </c>
      <c r="O464" s="246">
        <v>43761</v>
      </c>
    </row>
    <row r="465" spans="1:15" s="247" customFormat="1" ht="13.5" customHeight="1" x14ac:dyDescent="0.3">
      <c r="A465" s="185" t="s">
        <v>1208</v>
      </c>
      <c r="B465" s="248" t="s">
        <v>789</v>
      </c>
      <c r="C465" s="187" t="s">
        <v>280</v>
      </c>
      <c r="D465" s="225" t="s">
        <v>1304</v>
      </c>
      <c r="E465" s="190">
        <v>90</v>
      </c>
      <c r="F465" s="227" t="s">
        <v>20</v>
      </c>
      <c r="G465" s="233">
        <v>43763</v>
      </c>
      <c r="H465" s="249">
        <v>500.4</v>
      </c>
      <c r="I465" s="188">
        <v>116</v>
      </c>
      <c r="J465" s="188">
        <f t="shared" si="8"/>
        <v>58046.399999999994</v>
      </c>
      <c r="K465" s="232">
        <v>43674</v>
      </c>
      <c r="L465" s="192"/>
      <c r="M465" s="317"/>
      <c r="N465" s="246" t="s">
        <v>1350</v>
      </c>
      <c r="O465" s="246">
        <v>43756</v>
      </c>
    </row>
    <row r="466" spans="1:15" s="247" customFormat="1" ht="13.5" customHeight="1" x14ac:dyDescent="0.3">
      <c r="A466" s="185" t="s">
        <v>1256</v>
      </c>
      <c r="B466" s="248" t="s">
        <v>14</v>
      </c>
      <c r="C466" s="187" t="s">
        <v>928</v>
      </c>
      <c r="D466" s="225" t="s">
        <v>1302</v>
      </c>
      <c r="E466" s="190">
        <v>90</v>
      </c>
      <c r="F466" s="227" t="s">
        <v>20</v>
      </c>
      <c r="G466" s="233">
        <f>+E466+K466</f>
        <v>43763</v>
      </c>
      <c r="H466" s="249">
        <v>264</v>
      </c>
      <c r="I466" s="188">
        <v>889</v>
      </c>
      <c r="J466" s="188">
        <f t="shared" si="8"/>
        <v>234696</v>
      </c>
      <c r="K466" s="232">
        <v>43673</v>
      </c>
      <c r="L466" s="192"/>
      <c r="M466" s="317"/>
      <c r="N466" s="246" t="s">
        <v>1350</v>
      </c>
      <c r="O466" s="246">
        <v>43756</v>
      </c>
    </row>
    <row r="467" spans="1:15" s="247" customFormat="1" ht="13.5" customHeight="1" x14ac:dyDescent="0.25">
      <c r="A467" s="185" t="s">
        <v>1342</v>
      </c>
      <c r="B467" s="248" t="s">
        <v>1274</v>
      </c>
      <c r="C467" s="187" t="s">
        <v>277</v>
      </c>
      <c r="D467" s="225" t="s">
        <v>1399</v>
      </c>
      <c r="E467" s="190" t="s">
        <v>5</v>
      </c>
      <c r="F467" s="227"/>
      <c r="G467" s="233">
        <v>43768</v>
      </c>
      <c r="H467" s="249">
        <v>371.2</v>
      </c>
      <c r="I467" s="188">
        <v>320</v>
      </c>
      <c r="J467" s="188">
        <f t="shared" si="8"/>
        <v>118784</v>
      </c>
      <c r="K467" s="232">
        <v>43758</v>
      </c>
      <c r="L467" s="192"/>
      <c r="M467" s="317"/>
      <c r="N467" s="246" t="s">
        <v>1406</v>
      </c>
      <c r="O467" s="246" t="s">
        <v>1407</v>
      </c>
    </row>
    <row r="468" spans="1:15" s="247" customFormat="1" ht="13.5" customHeight="1" x14ac:dyDescent="0.3">
      <c r="A468" s="185" t="s">
        <v>1213</v>
      </c>
      <c r="B468" s="248" t="s">
        <v>10</v>
      </c>
      <c r="C468" s="187" t="s">
        <v>816</v>
      </c>
      <c r="D468" s="225" t="s">
        <v>1306</v>
      </c>
      <c r="E468" s="190">
        <v>90</v>
      </c>
      <c r="F468" s="227" t="s">
        <v>20</v>
      </c>
      <c r="G468" s="233">
        <f>+K468+E468</f>
        <v>43768</v>
      </c>
      <c r="H468" s="249">
        <v>700</v>
      </c>
      <c r="I468" s="188">
        <v>240</v>
      </c>
      <c r="J468" s="188">
        <f t="shared" si="8"/>
        <v>168000</v>
      </c>
      <c r="K468" s="232">
        <v>43678</v>
      </c>
      <c r="L468" s="192"/>
      <c r="M468" s="317"/>
      <c r="N468" s="246" t="s">
        <v>1406</v>
      </c>
      <c r="O468" s="246" t="s">
        <v>1407</v>
      </c>
    </row>
    <row r="469" spans="1:15" s="247" customFormat="1" ht="13.5" customHeight="1" x14ac:dyDescent="0.25">
      <c r="A469" s="185" t="s">
        <v>514</v>
      </c>
      <c r="B469" s="248" t="s">
        <v>12</v>
      </c>
      <c r="C469" s="187" t="s">
        <v>816</v>
      </c>
      <c r="D469" s="225" t="s">
        <v>1394</v>
      </c>
      <c r="E469" s="190"/>
      <c r="F469" s="227"/>
      <c r="G469" s="233">
        <v>43768</v>
      </c>
      <c r="H469" s="249"/>
      <c r="I469" s="188"/>
      <c r="J469" s="188">
        <v>-7000</v>
      </c>
      <c r="K469" s="232">
        <v>43759</v>
      </c>
      <c r="L469" s="192"/>
      <c r="M469" s="317"/>
      <c r="N469" s="246" t="s">
        <v>1406</v>
      </c>
      <c r="O469" s="246" t="s">
        <v>1407</v>
      </c>
    </row>
    <row r="470" spans="1:15" s="250" customFormat="1" ht="13.5" customHeight="1" x14ac:dyDescent="0.3">
      <c r="A470" s="185" t="s">
        <v>1285</v>
      </c>
      <c r="B470" s="251" t="s">
        <v>1293</v>
      </c>
      <c r="C470" s="187" t="s">
        <v>1294</v>
      </c>
      <c r="D470" s="225" t="s">
        <v>1335</v>
      </c>
      <c r="E470" s="190">
        <v>90</v>
      </c>
      <c r="F470" s="227" t="s">
        <v>1297</v>
      </c>
      <c r="G470" s="233">
        <f>+K470+E470</f>
        <v>43867</v>
      </c>
      <c r="H470" s="252">
        <v>170.4</v>
      </c>
      <c r="I470" s="188">
        <v>270</v>
      </c>
      <c r="J470" s="188">
        <f>+I470*H470</f>
        <v>46008</v>
      </c>
      <c r="K470" s="232">
        <v>43777</v>
      </c>
      <c r="L470" s="192"/>
      <c r="M470" s="317"/>
      <c r="N470" s="246" t="s">
        <v>1334</v>
      </c>
      <c r="O470" s="246">
        <v>43774</v>
      </c>
    </row>
    <row r="471" spans="1:15" s="250" customFormat="1" ht="13.5" customHeight="1" x14ac:dyDescent="0.3">
      <c r="A471" s="185" t="s">
        <v>1324</v>
      </c>
      <c r="B471" s="251" t="s">
        <v>1327</v>
      </c>
      <c r="C471" s="187" t="s">
        <v>664</v>
      </c>
      <c r="D471" s="225" t="s">
        <v>1374</v>
      </c>
      <c r="E471" s="190">
        <v>60</v>
      </c>
      <c r="F471" s="227" t="s">
        <v>20</v>
      </c>
      <c r="G471" s="233">
        <v>43777</v>
      </c>
      <c r="H471" s="252">
        <v>52</v>
      </c>
      <c r="I471" s="188">
        <v>285</v>
      </c>
      <c r="J471" s="188">
        <f>+I471*H471</f>
        <v>14820</v>
      </c>
      <c r="K471" s="232">
        <v>43780</v>
      </c>
      <c r="L471" s="192"/>
      <c r="M471" s="317"/>
      <c r="N471" s="246" t="s">
        <v>1334</v>
      </c>
      <c r="O471" s="246">
        <v>43774</v>
      </c>
    </row>
    <row r="472" spans="1:15" s="250" customFormat="1" ht="13.5" customHeight="1" x14ac:dyDescent="0.25">
      <c r="A472" s="185" t="s">
        <v>514</v>
      </c>
      <c r="B472" s="251" t="s">
        <v>1327</v>
      </c>
      <c r="C472" s="187" t="s">
        <v>664</v>
      </c>
      <c r="D472" s="225" t="s">
        <v>1434</v>
      </c>
      <c r="E472" s="190"/>
      <c r="F472" s="227"/>
      <c r="G472" s="233">
        <v>43777</v>
      </c>
      <c r="H472" s="252"/>
      <c r="I472" s="188"/>
      <c r="J472" s="188">
        <v>-434.36</v>
      </c>
      <c r="K472" s="232">
        <v>43780</v>
      </c>
      <c r="L472" s="192"/>
      <c r="M472" s="317"/>
      <c r="N472" s="246"/>
      <c r="O472" s="246"/>
    </row>
    <row r="473" spans="1:15" s="250" customFormat="1" ht="13.5" customHeight="1" x14ac:dyDescent="0.3">
      <c r="A473" s="185" t="s">
        <v>1180</v>
      </c>
      <c r="B473" s="251" t="s">
        <v>243</v>
      </c>
      <c r="C473" s="187" t="s">
        <v>1433</v>
      </c>
      <c r="D473" s="225" t="s">
        <v>552</v>
      </c>
      <c r="E473" s="190">
        <v>150</v>
      </c>
      <c r="F473" s="227" t="s">
        <v>20</v>
      </c>
      <c r="G473" s="233">
        <v>43780</v>
      </c>
      <c r="H473" s="252">
        <v>3800</v>
      </c>
      <c r="I473" s="188">
        <v>260.7</v>
      </c>
      <c r="J473" s="188">
        <f t="shared" ref="J473:J498" si="9">+I473*H473</f>
        <v>990660</v>
      </c>
      <c r="K473" s="232">
        <v>43780</v>
      </c>
      <c r="L473" s="192" t="s">
        <v>987</v>
      </c>
      <c r="M473" s="317"/>
      <c r="N473" s="246" t="s">
        <v>1334</v>
      </c>
      <c r="O473" s="246">
        <v>43774</v>
      </c>
    </row>
    <row r="474" spans="1:15" s="250" customFormat="1" ht="13.5" customHeight="1" x14ac:dyDescent="0.3">
      <c r="A474" s="185" t="s">
        <v>1215</v>
      </c>
      <c r="B474" s="251" t="s">
        <v>4</v>
      </c>
      <c r="C474" s="187" t="s">
        <v>1036</v>
      </c>
      <c r="D474" s="225" t="s">
        <v>1408</v>
      </c>
      <c r="E474" s="190">
        <v>90</v>
      </c>
      <c r="F474" s="227" t="s">
        <v>20</v>
      </c>
      <c r="G474" s="233">
        <v>43781</v>
      </c>
      <c r="H474" s="252">
        <v>369.2</v>
      </c>
      <c r="I474" s="188">
        <v>482</v>
      </c>
      <c r="J474" s="188">
        <f t="shared" si="9"/>
        <v>177954.4</v>
      </c>
      <c r="K474" s="232">
        <v>43781</v>
      </c>
      <c r="L474" s="192"/>
      <c r="M474" s="317"/>
      <c r="N474" s="246" t="s">
        <v>1334</v>
      </c>
      <c r="O474" s="246">
        <v>43774</v>
      </c>
    </row>
    <row r="475" spans="1:15" s="250" customFormat="1" ht="13.5" customHeight="1" x14ac:dyDescent="0.3">
      <c r="A475" s="185" t="s">
        <v>1271</v>
      </c>
      <c r="B475" s="251" t="s">
        <v>359</v>
      </c>
      <c r="C475" s="187" t="s">
        <v>41</v>
      </c>
      <c r="D475" s="225" t="s">
        <v>1272</v>
      </c>
      <c r="E475" s="190">
        <v>120</v>
      </c>
      <c r="F475" s="227" t="s">
        <v>20</v>
      </c>
      <c r="G475" s="233">
        <v>43788</v>
      </c>
      <c r="H475" s="252">
        <v>360</v>
      </c>
      <c r="I475" s="188">
        <v>733</v>
      </c>
      <c r="J475" s="188">
        <f t="shared" si="9"/>
        <v>263880</v>
      </c>
      <c r="K475" s="232">
        <v>43789</v>
      </c>
      <c r="L475" s="192"/>
      <c r="M475" s="317"/>
      <c r="N475" s="246" t="s">
        <v>1350</v>
      </c>
      <c r="O475" s="246">
        <v>43787</v>
      </c>
    </row>
    <row r="476" spans="1:15" s="250" customFormat="1" ht="13.5" customHeight="1" x14ac:dyDescent="0.3">
      <c r="A476" s="185" t="s">
        <v>1170</v>
      </c>
      <c r="B476" s="251" t="s">
        <v>32</v>
      </c>
      <c r="C476" s="187" t="s">
        <v>1436</v>
      </c>
      <c r="D476" s="225" t="s">
        <v>552</v>
      </c>
      <c r="E476" s="190">
        <v>150</v>
      </c>
      <c r="F476" s="227" t="s">
        <v>20</v>
      </c>
      <c r="G476" s="233">
        <f>+K476+E476</f>
        <v>43789</v>
      </c>
      <c r="H476" s="252">
        <v>6150</v>
      </c>
      <c r="I476" s="188">
        <v>286.05</v>
      </c>
      <c r="J476" s="188">
        <f t="shared" si="9"/>
        <v>1759207.5</v>
      </c>
      <c r="K476" s="232">
        <v>43639</v>
      </c>
      <c r="L476" s="192" t="s">
        <v>987</v>
      </c>
      <c r="M476" s="317"/>
      <c r="N476" s="246" t="s">
        <v>1350</v>
      </c>
      <c r="O476" s="246">
        <v>43787</v>
      </c>
    </row>
    <row r="477" spans="1:15" s="250" customFormat="1" ht="13.5" customHeight="1" x14ac:dyDescent="0.3">
      <c r="A477" s="185" t="s">
        <v>1171</v>
      </c>
      <c r="B477" s="251" t="s">
        <v>33</v>
      </c>
      <c r="C477" s="187" t="s">
        <v>1436</v>
      </c>
      <c r="D477" s="225" t="s">
        <v>552</v>
      </c>
      <c r="E477" s="190">
        <v>150</v>
      </c>
      <c r="F477" s="227" t="s">
        <v>20</v>
      </c>
      <c r="G477" s="233">
        <v>43789</v>
      </c>
      <c r="H477" s="252">
        <v>4400</v>
      </c>
      <c r="I477" s="188">
        <v>291.13</v>
      </c>
      <c r="J477" s="188">
        <f t="shared" si="9"/>
        <v>1280972</v>
      </c>
      <c r="K477" s="232">
        <v>43790</v>
      </c>
      <c r="L477" s="192" t="s">
        <v>987</v>
      </c>
      <c r="M477" s="317"/>
      <c r="N477" s="246" t="s">
        <v>1350</v>
      </c>
      <c r="O477" s="246">
        <v>43787</v>
      </c>
    </row>
    <row r="478" spans="1:15" s="250" customFormat="1" ht="13.5" customHeight="1" x14ac:dyDescent="0.25">
      <c r="A478" s="185" t="s">
        <v>1375</v>
      </c>
      <c r="B478" s="251" t="s">
        <v>1274</v>
      </c>
      <c r="C478" s="187" t="s">
        <v>277</v>
      </c>
      <c r="D478" s="225" t="s">
        <v>1435</v>
      </c>
      <c r="E478" s="190" t="s">
        <v>5</v>
      </c>
      <c r="F478" s="227"/>
      <c r="G478" s="233">
        <v>43789</v>
      </c>
      <c r="H478" s="252">
        <v>316.8</v>
      </c>
      <c r="I478" s="188">
        <v>312</v>
      </c>
      <c r="J478" s="188">
        <f t="shared" si="9"/>
        <v>98841.600000000006</v>
      </c>
      <c r="K478" s="232">
        <v>43790</v>
      </c>
      <c r="L478" s="192"/>
      <c r="M478" s="317"/>
      <c r="N478" s="246" t="s">
        <v>1350</v>
      </c>
      <c r="O478" s="246">
        <v>43787</v>
      </c>
    </row>
    <row r="479" spans="1:15" s="250" customFormat="1" ht="13.5" customHeight="1" x14ac:dyDescent="0.3">
      <c r="A479" s="185" t="s">
        <v>1277</v>
      </c>
      <c r="B479" s="251" t="s">
        <v>1278</v>
      </c>
      <c r="C479" s="187" t="s">
        <v>245</v>
      </c>
      <c r="D479" s="225" t="s">
        <v>1365</v>
      </c>
      <c r="E479" s="190">
        <v>90</v>
      </c>
      <c r="F479" s="227" t="s">
        <v>20</v>
      </c>
      <c r="G479" s="233">
        <v>43791</v>
      </c>
      <c r="H479" s="252">
        <v>96.25</v>
      </c>
      <c r="I479" s="188">
        <v>310</v>
      </c>
      <c r="J479" s="188">
        <f t="shared" si="9"/>
        <v>29837.5</v>
      </c>
      <c r="K479" s="232">
        <v>43794</v>
      </c>
      <c r="L479" s="192"/>
      <c r="M479" s="317"/>
      <c r="N479" s="246" t="s">
        <v>1350</v>
      </c>
      <c r="O479" s="246">
        <v>43787</v>
      </c>
    </row>
    <row r="480" spans="1:15" s="250" customFormat="1" ht="13.5" customHeight="1" x14ac:dyDescent="0.25">
      <c r="A480" s="185" t="s">
        <v>1376</v>
      </c>
      <c r="B480" s="251" t="s">
        <v>1274</v>
      </c>
      <c r="C480" s="187" t="s">
        <v>277</v>
      </c>
      <c r="D480" s="225" t="s">
        <v>1443</v>
      </c>
      <c r="E480" s="190" t="s">
        <v>5</v>
      </c>
      <c r="F480" s="227"/>
      <c r="G480" s="233">
        <v>43795</v>
      </c>
      <c r="H480" s="252">
        <v>316.8</v>
      </c>
      <c r="I480" s="188">
        <v>312</v>
      </c>
      <c r="J480" s="188">
        <f t="shared" si="9"/>
        <v>98841.600000000006</v>
      </c>
      <c r="K480" s="232">
        <v>43796</v>
      </c>
      <c r="L480" s="192"/>
      <c r="M480" s="317"/>
      <c r="N480" s="246" t="s">
        <v>1350</v>
      </c>
      <c r="O480" s="246">
        <v>43795</v>
      </c>
    </row>
    <row r="481" spans="1:15" s="250" customFormat="1" ht="13.5" customHeight="1" x14ac:dyDescent="0.3">
      <c r="A481" s="185" t="s">
        <v>1284</v>
      </c>
      <c r="B481" s="251" t="s">
        <v>1292</v>
      </c>
      <c r="C481" s="187" t="s">
        <v>280</v>
      </c>
      <c r="D481" s="225" t="s">
        <v>1308</v>
      </c>
      <c r="E481" s="190">
        <v>90</v>
      </c>
      <c r="F481" s="227" t="s">
        <v>1297</v>
      </c>
      <c r="G481" s="233">
        <v>43802</v>
      </c>
      <c r="H481" s="252">
        <v>400.4</v>
      </c>
      <c r="I481" s="188">
        <v>124</v>
      </c>
      <c r="J481" s="188">
        <f t="shared" si="9"/>
        <v>49649.599999999999</v>
      </c>
      <c r="K481" s="232">
        <v>43804</v>
      </c>
      <c r="L481" s="192"/>
      <c r="M481" s="317"/>
      <c r="N481" s="246" t="s">
        <v>1350</v>
      </c>
      <c r="O481" s="246">
        <v>43795</v>
      </c>
    </row>
    <row r="482" spans="1:15" s="250" customFormat="1" ht="13.5" customHeight="1" x14ac:dyDescent="0.3">
      <c r="A482" s="185" t="s">
        <v>1288</v>
      </c>
      <c r="B482" s="251" t="s">
        <v>1296</v>
      </c>
      <c r="C482" s="187" t="s">
        <v>928</v>
      </c>
      <c r="D482" s="225" t="s">
        <v>1366</v>
      </c>
      <c r="E482" s="190">
        <v>90</v>
      </c>
      <c r="F482" s="227" t="s">
        <v>20</v>
      </c>
      <c r="G482" s="233">
        <v>43803</v>
      </c>
      <c r="H482" s="252">
        <v>100</v>
      </c>
      <c r="I482" s="188">
        <v>957</v>
      </c>
      <c r="J482" s="188">
        <f t="shared" si="9"/>
        <v>95700</v>
      </c>
      <c r="K482" s="232">
        <v>43804</v>
      </c>
      <c r="L482" s="192"/>
      <c r="M482" s="317"/>
      <c r="N482" s="246" t="s">
        <v>1350</v>
      </c>
      <c r="O482" s="246">
        <v>43795</v>
      </c>
    </row>
    <row r="483" spans="1:15" s="250" customFormat="1" ht="13.5" customHeight="1" x14ac:dyDescent="0.3">
      <c r="A483" s="185" t="s">
        <v>1312</v>
      </c>
      <c r="B483" s="251" t="s">
        <v>1313</v>
      </c>
      <c r="C483" s="187" t="s">
        <v>42</v>
      </c>
      <c r="D483" s="225" t="s">
        <v>1339</v>
      </c>
      <c r="E483" s="190">
        <v>90</v>
      </c>
      <c r="F483" s="227" t="s">
        <v>20</v>
      </c>
      <c r="G483" s="233">
        <v>43804</v>
      </c>
      <c r="H483" s="252">
        <v>111.86</v>
      </c>
      <c r="I483" s="188">
        <v>275</v>
      </c>
      <c r="J483" s="188">
        <f t="shared" si="9"/>
        <v>30761.5</v>
      </c>
      <c r="K483" s="232">
        <v>43805</v>
      </c>
      <c r="L483" s="192"/>
      <c r="M483" s="317"/>
      <c r="N483" s="246" t="s">
        <v>1350</v>
      </c>
      <c r="O483" s="246">
        <v>43795</v>
      </c>
    </row>
    <row r="484" spans="1:15" s="250" customFormat="1" ht="13.5" customHeight="1" x14ac:dyDescent="0.3">
      <c r="A484" s="185" t="s">
        <v>1314</v>
      </c>
      <c r="B484" s="251" t="s">
        <v>1313</v>
      </c>
      <c r="C484" s="187" t="s">
        <v>42</v>
      </c>
      <c r="D484" s="225" t="s">
        <v>1340</v>
      </c>
      <c r="E484" s="190">
        <v>90</v>
      </c>
      <c r="F484" s="227" t="s">
        <v>20</v>
      </c>
      <c r="G484" s="233">
        <v>43804</v>
      </c>
      <c r="H484" s="252">
        <v>194.96</v>
      </c>
      <c r="I484" s="188">
        <v>275</v>
      </c>
      <c r="J484" s="188">
        <f t="shared" si="9"/>
        <v>53614</v>
      </c>
      <c r="K484" s="232">
        <v>43805</v>
      </c>
      <c r="L484" s="192"/>
      <c r="M484" s="317"/>
      <c r="N484" s="246" t="s">
        <v>1350</v>
      </c>
      <c r="O484" s="246">
        <v>43795</v>
      </c>
    </row>
    <row r="485" spans="1:15" s="250" customFormat="1" ht="13.5" customHeight="1" x14ac:dyDescent="0.3">
      <c r="A485" s="185" t="s">
        <v>1287</v>
      </c>
      <c r="B485" s="251" t="s">
        <v>1295</v>
      </c>
      <c r="C485" s="187" t="s">
        <v>7</v>
      </c>
      <c r="D485" s="225" t="s">
        <v>1336</v>
      </c>
      <c r="E485" s="190">
        <v>90</v>
      </c>
      <c r="F485" s="227" t="s">
        <v>1297</v>
      </c>
      <c r="G485" s="233">
        <v>43809</v>
      </c>
      <c r="H485" s="252">
        <v>110</v>
      </c>
      <c r="I485" s="188">
        <v>703</v>
      </c>
      <c r="J485" s="188">
        <f t="shared" si="9"/>
        <v>77330</v>
      </c>
      <c r="K485" s="232">
        <v>43809</v>
      </c>
      <c r="L485" s="192" t="s">
        <v>499</v>
      </c>
      <c r="M485" s="317"/>
      <c r="N485" s="246" t="s">
        <v>1350</v>
      </c>
      <c r="O485" s="246">
        <v>43787</v>
      </c>
    </row>
    <row r="486" spans="1:15" s="250" customFormat="1" ht="13.5" customHeight="1" x14ac:dyDescent="0.3">
      <c r="A486" s="185" t="s">
        <v>1187</v>
      </c>
      <c r="B486" s="251" t="s">
        <v>926</v>
      </c>
      <c r="C486" s="187" t="s">
        <v>606</v>
      </c>
      <c r="D486" s="225" t="s">
        <v>1265</v>
      </c>
      <c r="E486" s="190">
        <v>120</v>
      </c>
      <c r="F486" s="227" t="s">
        <v>20</v>
      </c>
      <c r="G486" s="233">
        <v>43784</v>
      </c>
      <c r="H486" s="252">
        <v>96</v>
      </c>
      <c r="I486" s="188">
        <v>1200</v>
      </c>
      <c r="J486" s="188">
        <f t="shared" si="9"/>
        <v>115200</v>
      </c>
      <c r="K486" s="232">
        <v>43815</v>
      </c>
      <c r="L486" s="192" t="s">
        <v>1331</v>
      </c>
      <c r="M486" s="192"/>
      <c r="N486" s="551" t="s">
        <v>1467</v>
      </c>
      <c r="O486" s="551"/>
    </row>
    <row r="487" spans="1:15" s="250" customFormat="1" ht="13.5" customHeight="1" x14ac:dyDescent="0.3">
      <c r="A487" s="185" t="s">
        <v>1290</v>
      </c>
      <c r="B487" s="251" t="s">
        <v>1293</v>
      </c>
      <c r="C487" s="187" t="s">
        <v>1036</v>
      </c>
      <c r="D487" s="225" t="s">
        <v>1367</v>
      </c>
      <c r="E487" s="190">
        <v>90</v>
      </c>
      <c r="F487" s="227" t="s">
        <v>20</v>
      </c>
      <c r="G487" s="233">
        <v>43812</v>
      </c>
      <c r="H487" s="252">
        <v>300</v>
      </c>
      <c r="I487" s="188">
        <v>269</v>
      </c>
      <c r="J487" s="188">
        <f t="shared" si="9"/>
        <v>80700</v>
      </c>
      <c r="K487" s="232">
        <v>43815</v>
      </c>
      <c r="L487" s="192"/>
      <c r="M487" s="317"/>
      <c r="N487" s="246" t="s">
        <v>1334</v>
      </c>
      <c r="O487" s="246">
        <v>43809</v>
      </c>
    </row>
    <row r="488" spans="1:15" s="250" customFormat="1" ht="13.5" customHeight="1" x14ac:dyDescent="0.3">
      <c r="A488" s="185" t="s">
        <v>1337</v>
      </c>
      <c r="B488" s="251" t="s">
        <v>1309</v>
      </c>
      <c r="C488" s="187" t="s">
        <v>7</v>
      </c>
      <c r="D488" s="225" t="s">
        <v>1368</v>
      </c>
      <c r="E488" s="190">
        <v>90</v>
      </c>
      <c r="F488" s="227" t="s">
        <v>20</v>
      </c>
      <c r="G488" s="233">
        <v>43812</v>
      </c>
      <c r="H488" s="252">
        <v>930</v>
      </c>
      <c r="I488" s="188">
        <v>244.5</v>
      </c>
      <c r="J488" s="188">
        <f t="shared" si="9"/>
        <v>227385</v>
      </c>
      <c r="K488" s="232">
        <v>43815</v>
      </c>
      <c r="L488" s="192"/>
      <c r="M488" s="317"/>
      <c r="N488" s="246" t="s">
        <v>1334</v>
      </c>
      <c r="O488" s="246">
        <v>43809</v>
      </c>
    </row>
    <row r="489" spans="1:15" s="250" customFormat="1" ht="13.5" customHeight="1" x14ac:dyDescent="0.3">
      <c r="A489" s="185" t="s">
        <v>1338</v>
      </c>
      <c r="B489" s="251" t="s">
        <v>1309</v>
      </c>
      <c r="C489" s="187" t="s">
        <v>7</v>
      </c>
      <c r="D489" s="225" t="s">
        <v>1369</v>
      </c>
      <c r="E489" s="190">
        <v>90</v>
      </c>
      <c r="F489" s="227" t="s">
        <v>20</v>
      </c>
      <c r="G489" s="233">
        <v>43812</v>
      </c>
      <c r="H489" s="252">
        <v>600</v>
      </c>
      <c r="I489" s="188">
        <v>244.5</v>
      </c>
      <c r="J489" s="188">
        <f t="shared" si="9"/>
        <v>146700</v>
      </c>
      <c r="K489" s="232">
        <v>43815</v>
      </c>
      <c r="L489" s="192"/>
      <c r="M489" s="317"/>
      <c r="N489" s="246" t="s">
        <v>1334</v>
      </c>
      <c r="O489" s="246">
        <v>43809</v>
      </c>
    </row>
    <row r="490" spans="1:15" s="250" customFormat="1" ht="13.5" customHeight="1" x14ac:dyDescent="0.3">
      <c r="A490" s="185" t="s">
        <v>1310</v>
      </c>
      <c r="B490" s="251" t="s">
        <v>1309</v>
      </c>
      <c r="C490" s="187" t="s">
        <v>7</v>
      </c>
      <c r="D490" s="225" t="s">
        <v>1362</v>
      </c>
      <c r="E490" s="190">
        <v>90</v>
      </c>
      <c r="F490" s="227" t="s">
        <v>20</v>
      </c>
      <c r="G490" s="233">
        <v>43812</v>
      </c>
      <c r="H490" s="252">
        <v>896</v>
      </c>
      <c r="I490" s="188">
        <v>244</v>
      </c>
      <c r="J490" s="188">
        <f t="shared" si="9"/>
        <v>218624</v>
      </c>
      <c r="K490" s="232">
        <v>43815</v>
      </c>
      <c r="L490" s="192" t="s">
        <v>499</v>
      </c>
      <c r="M490" s="317"/>
      <c r="N490" s="246"/>
      <c r="O490" s="246"/>
    </row>
    <row r="491" spans="1:15" s="250" customFormat="1" ht="13.5" customHeight="1" x14ac:dyDescent="0.3">
      <c r="A491" s="185" t="s">
        <v>1311</v>
      </c>
      <c r="B491" s="251" t="s">
        <v>1309</v>
      </c>
      <c r="C491" s="187" t="s">
        <v>7</v>
      </c>
      <c r="D491" s="225" t="s">
        <v>1363</v>
      </c>
      <c r="E491" s="190">
        <v>90</v>
      </c>
      <c r="F491" s="227" t="s">
        <v>20</v>
      </c>
      <c r="G491" s="233">
        <v>43812</v>
      </c>
      <c r="H491" s="252">
        <v>700</v>
      </c>
      <c r="I491" s="188">
        <v>244</v>
      </c>
      <c r="J491" s="188">
        <f t="shared" si="9"/>
        <v>170800</v>
      </c>
      <c r="K491" s="232">
        <v>43815</v>
      </c>
      <c r="L491" s="192"/>
      <c r="M491" s="317"/>
      <c r="N491" s="246" t="s">
        <v>1334</v>
      </c>
      <c r="O491" s="246">
        <v>43809</v>
      </c>
    </row>
    <row r="492" spans="1:15" s="250" customFormat="1" ht="13.5" customHeight="1" x14ac:dyDescent="0.3">
      <c r="A492" s="185" t="s">
        <v>1317</v>
      </c>
      <c r="B492" s="251" t="s">
        <v>1325</v>
      </c>
      <c r="C492" s="187" t="s">
        <v>928</v>
      </c>
      <c r="D492" s="225" t="s">
        <v>1371</v>
      </c>
      <c r="E492" s="190">
        <v>90</v>
      </c>
      <c r="F492" s="227" t="s">
        <v>20</v>
      </c>
      <c r="G492" s="233">
        <v>43818</v>
      </c>
      <c r="H492" s="252">
        <v>504</v>
      </c>
      <c r="I492" s="188">
        <v>884</v>
      </c>
      <c r="J492" s="188">
        <f t="shared" si="9"/>
        <v>445536</v>
      </c>
      <c r="K492" s="232">
        <v>43818</v>
      </c>
      <c r="L492" s="192"/>
      <c r="M492" s="317"/>
      <c r="N492" s="246" t="s">
        <v>1350</v>
      </c>
      <c r="O492" s="246">
        <v>43818</v>
      </c>
    </row>
    <row r="493" spans="1:15" s="250" customFormat="1" ht="13.5" customHeight="1" x14ac:dyDescent="0.3">
      <c r="A493" s="185" t="s">
        <v>1316</v>
      </c>
      <c r="B493" s="251" t="s">
        <v>502</v>
      </c>
      <c r="C493" s="187" t="s">
        <v>816</v>
      </c>
      <c r="D493" s="225" t="s">
        <v>1370</v>
      </c>
      <c r="E493" s="190">
        <v>90</v>
      </c>
      <c r="F493" s="227" t="s">
        <v>20</v>
      </c>
      <c r="G493" s="233">
        <v>43819</v>
      </c>
      <c r="H493" s="252">
        <v>202.3</v>
      </c>
      <c r="I493" s="188">
        <v>505</v>
      </c>
      <c r="J493" s="188">
        <f t="shared" si="9"/>
        <v>102161.5</v>
      </c>
      <c r="K493" s="232">
        <v>43819</v>
      </c>
      <c r="L493" s="192"/>
      <c r="M493" s="317"/>
      <c r="N493" s="246" t="s">
        <v>1350</v>
      </c>
      <c r="O493" s="246">
        <v>43818</v>
      </c>
    </row>
    <row r="494" spans="1:15" s="250" customFormat="1" ht="13.5" customHeight="1" x14ac:dyDescent="0.3">
      <c r="A494" s="185" t="s">
        <v>1345</v>
      </c>
      <c r="B494" s="251" t="s">
        <v>1326</v>
      </c>
      <c r="C494" s="187" t="s">
        <v>1346</v>
      </c>
      <c r="D494" s="225" t="s">
        <v>1419</v>
      </c>
      <c r="E494" s="190">
        <v>90</v>
      </c>
      <c r="F494" s="227" t="s">
        <v>20</v>
      </c>
      <c r="G494" s="233">
        <v>43822</v>
      </c>
      <c r="H494" s="252">
        <v>72</v>
      </c>
      <c r="I494" s="188">
        <v>495</v>
      </c>
      <c r="J494" s="188">
        <f t="shared" si="9"/>
        <v>35640</v>
      </c>
      <c r="K494" s="232">
        <v>43823</v>
      </c>
      <c r="L494" s="192"/>
      <c r="M494" s="317"/>
      <c r="N494" s="246" t="s">
        <v>1350</v>
      </c>
      <c r="O494" s="246">
        <v>43818</v>
      </c>
    </row>
    <row r="495" spans="1:15" s="250" customFormat="1" ht="13.5" customHeight="1" x14ac:dyDescent="0.3">
      <c r="A495" s="185" t="s">
        <v>1347</v>
      </c>
      <c r="B495" s="251" t="s">
        <v>1326</v>
      </c>
      <c r="C495" s="187" t="s">
        <v>1346</v>
      </c>
      <c r="D495" s="225" t="s">
        <v>1450</v>
      </c>
      <c r="E495" s="190">
        <v>90</v>
      </c>
      <c r="F495" s="227" t="s">
        <v>20</v>
      </c>
      <c r="G495" s="233">
        <v>43826</v>
      </c>
      <c r="H495" s="252">
        <v>72</v>
      </c>
      <c r="I495" s="188">
        <v>499</v>
      </c>
      <c r="J495" s="188">
        <f t="shared" si="9"/>
        <v>35928</v>
      </c>
      <c r="K495" s="232">
        <v>43829</v>
      </c>
      <c r="L495" s="192"/>
      <c r="M495" s="317"/>
      <c r="N495" s="256" t="s">
        <v>1350</v>
      </c>
      <c r="O495" s="256">
        <v>43818</v>
      </c>
    </row>
    <row r="496" spans="1:15" s="250" customFormat="1" ht="13.5" customHeight="1" x14ac:dyDescent="0.3">
      <c r="A496" s="185" t="s">
        <v>1318</v>
      </c>
      <c r="B496" s="251" t="s">
        <v>1325</v>
      </c>
      <c r="C496" s="187" t="s">
        <v>928</v>
      </c>
      <c r="D496" s="225" t="s">
        <v>1415</v>
      </c>
      <c r="E496" s="190">
        <v>90</v>
      </c>
      <c r="F496" s="227" t="s">
        <v>20</v>
      </c>
      <c r="G496" s="233">
        <v>43833</v>
      </c>
      <c r="H496" s="252">
        <v>480</v>
      </c>
      <c r="I496" s="188">
        <v>884</v>
      </c>
      <c r="J496" s="188">
        <f t="shared" si="9"/>
        <v>424320</v>
      </c>
      <c r="K496" s="232">
        <v>43736</v>
      </c>
      <c r="L496" s="192"/>
      <c r="M496" s="317"/>
      <c r="N496" s="256" t="s">
        <v>1350</v>
      </c>
      <c r="O496" s="256">
        <v>43818</v>
      </c>
    </row>
    <row r="497" spans="1:15" s="250" customFormat="1" ht="13.5" customHeight="1" x14ac:dyDescent="0.3">
      <c r="A497" s="185" t="s">
        <v>1321</v>
      </c>
      <c r="B497" s="251" t="s">
        <v>1326</v>
      </c>
      <c r="C497" s="187" t="s">
        <v>905</v>
      </c>
      <c r="D497" s="225" t="s">
        <v>1372</v>
      </c>
      <c r="E497" s="190">
        <v>120</v>
      </c>
      <c r="F497" s="227" t="s">
        <v>20</v>
      </c>
      <c r="G497" s="233">
        <v>43837</v>
      </c>
      <c r="H497" s="252">
        <v>392</v>
      </c>
      <c r="I497" s="188">
        <v>505.49</v>
      </c>
      <c r="J497" s="188">
        <f t="shared" si="9"/>
        <v>198152.08000000002</v>
      </c>
      <c r="K497" s="232">
        <v>43837</v>
      </c>
      <c r="L497" s="192" t="s">
        <v>499</v>
      </c>
      <c r="M497" s="317"/>
      <c r="N497" s="257"/>
      <c r="O497" s="257"/>
    </row>
    <row r="498" spans="1:15" s="250" customFormat="1" ht="13.5" customHeight="1" x14ac:dyDescent="0.3">
      <c r="A498" s="185" t="s">
        <v>1330</v>
      </c>
      <c r="B498" s="251" t="s">
        <v>1328</v>
      </c>
      <c r="C498" s="187" t="s">
        <v>1329</v>
      </c>
      <c r="D498" s="225" t="s">
        <v>552</v>
      </c>
      <c r="E498" s="190">
        <v>120</v>
      </c>
      <c r="F498" s="227" t="s">
        <v>20</v>
      </c>
      <c r="G498" s="233">
        <v>43840</v>
      </c>
      <c r="H498" s="252">
        <v>3000</v>
      </c>
      <c r="I498" s="188">
        <v>366.6</v>
      </c>
      <c r="J498" s="188">
        <f t="shared" si="9"/>
        <v>1099800</v>
      </c>
      <c r="K498" s="232">
        <v>43843</v>
      </c>
      <c r="L498" s="192"/>
      <c r="M498" s="317"/>
      <c r="N498" s="257" t="s">
        <v>1350</v>
      </c>
      <c r="O498" s="257">
        <v>43836</v>
      </c>
    </row>
    <row r="499" spans="1:15" s="250" customFormat="1" ht="13.5" customHeight="1" x14ac:dyDescent="0.3">
      <c r="A499" s="185" t="s">
        <v>1319</v>
      </c>
      <c r="B499" s="251" t="s">
        <v>1292</v>
      </c>
      <c r="C499" s="187" t="s">
        <v>280</v>
      </c>
      <c r="D499" s="225" t="s">
        <v>1416</v>
      </c>
      <c r="E499" s="190">
        <v>90</v>
      </c>
      <c r="F499" s="227" t="s">
        <v>20</v>
      </c>
      <c r="G499" s="233">
        <v>43844</v>
      </c>
      <c r="H499" s="252">
        <v>286</v>
      </c>
      <c r="I499" s="188">
        <v>123</v>
      </c>
      <c r="J499" s="188">
        <v>35178</v>
      </c>
      <c r="K499" s="232">
        <v>43844</v>
      </c>
      <c r="L499" s="192"/>
      <c r="M499" s="317"/>
      <c r="N499" s="258" t="s">
        <v>1350</v>
      </c>
      <c r="O499" s="258">
        <v>43836</v>
      </c>
    </row>
    <row r="500" spans="1:15" s="250" customFormat="1" ht="13.5" customHeight="1" x14ac:dyDescent="0.25">
      <c r="A500" s="185" t="s">
        <v>514</v>
      </c>
      <c r="B500" s="251" t="s">
        <v>1292</v>
      </c>
      <c r="C500" s="187" t="s">
        <v>280</v>
      </c>
      <c r="D500" s="225" t="s">
        <v>1468</v>
      </c>
      <c r="E500" s="190"/>
      <c r="F500" s="227"/>
      <c r="G500" s="233">
        <v>43844</v>
      </c>
      <c r="H500" s="252"/>
      <c r="I500" s="188"/>
      <c r="J500" s="188">
        <v>-4415.268</v>
      </c>
      <c r="K500" s="232">
        <v>43844</v>
      </c>
      <c r="L500" s="192"/>
      <c r="M500" s="317"/>
      <c r="N500" s="258" t="s">
        <v>1350</v>
      </c>
      <c r="O500" s="258">
        <v>43836</v>
      </c>
    </row>
    <row r="501" spans="1:15" s="250" customFormat="1" ht="13.5" customHeight="1" x14ac:dyDescent="0.3">
      <c r="A501" s="185" t="s">
        <v>1322</v>
      </c>
      <c r="B501" s="251" t="s">
        <v>1326</v>
      </c>
      <c r="C501" s="187" t="s">
        <v>905</v>
      </c>
      <c r="D501" s="225" t="s">
        <v>1373</v>
      </c>
      <c r="E501" s="190">
        <v>120</v>
      </c>
      <c r="F501" s="227" t="s">
        <v>20</v>
      </c>
      <c r="G501" s="233">
        <v>43844</v>
      </c>
      <c r="H501" s="252">
        <v>710.5</v>
      </c>
      <c r="I501" s="188">
        <v>513.59</v>
      </c>
      <c r="J501" s="188">
        <f>+I501*H501</f>
        <v>364905.69500000001</v>
      </c>
      <c r="K501" s="232">
        <v>43844</v>
      </c>
      <c r="L501" s="192" t="s">
        <v>499</v>
      </c>
      <c r="M501" s="317"/>
      <c r="N501" s="258"/>
      <c r="O501" s="258"/>
    </row>
    <row r="502" spans="1:15" s="250" customFormat="1" ht="13.5" customHeight="1" x14ac:dyDescent="0.3">
      <c r="A502" s="185" t="s">
        <v>1315</v>
      </c>
      <c r="B502" s="251" t="s">
        <v>502</v>
      </c>
      <c r="C502" s="187" t="s">
        <v>816</v>
      </c>
      <c r="D502" s="225" t="s">
        <v>1418</v>
      </c>
      <c r="E502" s="190">
        <v>90</v>
      </c>
      <c r="F502" s="227" t="s">
        <v>20</v>
      </c>
      <c r="G502" s="233">
        <v>43847</v>
      </c>
      <c r="H502" s="252">
        <v>300</v>
      </c>
      <c r="I502" s="188">
        <v>500</v>
      </c>
      <c r="J502" s="188">
        <f>+I502*H502</f>
        <v>150000</v>
      </c>
      <c r="K502" s="232">
        <v>43850</v>
      </c>
      <c r="L502" s="192"/>
      <c r="M502" s="317"/>
      <c r="N502" s="260" t="s">
        <v>1350</v>
      </c>
      <c r="O502" s="260">
        <v>43836</v>
      </c>
    </row>
    <row r="503" spans="1:15" s="250" customFormat="1" ht="13.5" customHeight="1" x14ac:dyDescent="0.3">
      <c r="A503" s="185" t="s">
        <v>1403</v>
      </c>
      <c r="B503" s="251" t="s">
        <v>1326</v>
      </c>
      <c r="C503" s="187" t="s">
        <v>7</v>
      </c>
      <c r="D503" s="225" t="s">
        <v>1405</v>
      </c>
      <c r="E503" s="190">
        <v>90</v>
      </c>
      <c r="F503" s="227" t="s">
        <v>1297</v>
      </c>
      <c r="G503" s="233">
        <v>43851</v>
      </c>
      <c r="H503" s="252">
        <v>600</v>
      </c>
      <c r="I503" s="188">
        <v>505</v>
      </c>
      <c r="J503" s="188">
        <f>+I503*H503</f>
        <v>303000</v>
      </c>
      <c r="K503" s="232">
        <v>43852</v>
      </c>
      <c r="L503" s="192"/>
      <c r="M503" s="317"/>
      <c r="N503" s="259" t="s">
        <v>1350</v>
      </c>
      <c r="O503" s="259">
        <v>43847</v>
      </c>
    </row>
    <row r="504" spans="1:15" s="250" customFormat="1" ht="13.5" customHeight="1" x14ac:dyDescent="0.3">
      <c r="A504" s="185" t="s">
        <v>1414</v>
      </c>
      <c r="B504" s="251" t="s">
        <v>1325</v>
      </c>
      <c r="C504" s="187" t="s">
        <v>928</v>
      </c>
      <c r="D504" s="225" t="s">
        <v>1472</v>
      </c>
      <c r="E504" s="190">
        <v>90</v>
      </c>
      <c r="F504" s="227" t="s">
        <v>20</v>
      </c>
      <c r="G504" s="233">
        <v>43853</v>
      </c>
      <c r="H504" s="252">
        <v>16</v>
      </c>
      <c r="I504" s="188">
        <v>884</v>
      </c>
      <c r="J504" s="188">
        <f>+I504*H504</f>
        <v>14144</v>
      </c>
      <c r="K504" s="232">
        <v>43853</v>
      </c>
      <c r="L504" s="192"/>
      <c r="M504" s="317"/>
      <c r="N504" s="261" t="s">
        <v>1350</v>
      </c>
      <c r="O504" s="261">
        <v>43847</v>
      </c>
    </row>
    <row r="505" spans="1:15" s="250" customFormat="1" ht="13.5" customHeight="1" x14ac:dyDescent="0.3">
      <c r="A505" s="185" t="s">
        <v>1471</v>
      </c>
      <c r="B505" s="251" t="s">
        <v>1325</v>
      </c>
      <c r="C505" s="187" t="s">
        <v>928</v>
      </c>
      <c r="D505" s="225" t="s">
        <v>1473</v>
      </c>
      <c r="E505" s="190">
        <v>90</v>
      </c>
      <c r="F505" s="227" t="s">
        <v>20</v>
      </c>
      <c r="G505" s="233">
        <v>43853</v>
      </c>
      <c r="H505" s="252">
        <v>8</v>
      </c>
      <c r="I505" s="188">
        <v>884</v>
      </c>
      <c r="J505" s="188">
        <f>+I505*H505</f>
        <v>7072</v>
      </c>
      <c r="K505" s="232">
        <v>43853</v>
      </c>
      <c r="L505" s="192"/>
      <c r="M505" s="317"/>
      <c r="N505" s="261"/>
      <c r="O505" s="261"/>
    </row>
    <row r="506" spans="1:15" s="250" customFormat="1" ht="13.5" customHeight="1" x14ac:dyDescent="0.3">
      <c r="A506" s="185" t="s">
        <v>1286</v>
      </c>
      <c r="B506" s="251" t="s">
        <v>1295</v>
      </c>
      <c r="C506" s="187" t="s">
        <v>7</v>
      </c>
      <c r="D506" s="225" t="s">
        <v>1400</v>
      </c>
      <c r="E506" s="190">
        <v>90</v>
      </c>
      <c r="F506" s="227" t="s">
        <v>1297</v>
      </c>
      <c r="G506" s="233">
        <v>43853</v>
      </c>
      <c r="H506" s="252">
        <v>449.625</v>
      </c>
      <c r="I506" s="188">
        <v>670</v>
      </c>
      <c r="J506" s="188">
        <v>301248.75</v>
      </c>
      <c r="K506" s="232">
        <v>43853</v>
      </c>
      <c r="L506" s="192" t="s">
        <v>499</v>
      </c>
      <c r="M506" s="317"/>
      <c r="N506" s="261" t="s">
        <v>1350</v>
      </c>
      <c r="O506" s="261">
        <v>43847</v>
      </c>
    </row>
    <row r="507" spans="1:15" s="250" customFormat="1" ht="13.5" customHeight="1" x14ac:dyDescent="0.3">
      <c r="A507" s="185" t="s">
        <v>1348</v>
      </c>
      <c r="B507" s="251" t="s">
        <v>1295</v>
      </c>
      <c r="C507" s="187" t="s">
        <v>7</v>
      </c>
      <c r="D507" s="225" t="s">
        <v>1401</v>
      </c>
      <c r="E507" s="190">
        <v>90</v>
      </c>
      <c r="F507" s="227" t="s">
        <v>20</v>
      </c>
      <c r="G507" s="233">
        <v>43853</v>
      </c>
      <c r="H507" s="252">
        <v>140.625</v>
      </c>
      <c r="I507" s="188">
        <v>665</v>
      </c>
      <c r="J507" s="188">
        <v>93515.625</v>
      </c>
      <c r="K507" s="232">
        <v>43853</v>
      </c>
      <c r="L507" s="192" t="s">
        <v>499</v>
      </c>
      <c r="M507" s="317"/>
      <c r="N507" s="261"/>
      <c r="O507" s="261"/>
    </row>
    <row r="508" spans="1:15" s="250" customFormat="1" ht="13.5" customHeight="1" x14ac:dyDescent="0.3">
      <c r="A508" s="185" t="s">
        <v>1358</v>
      </c>
      <c r="B508" s="251" t="s">
        <v>1293</v>
      </c>
      <c r="C508" s="187" t="s">
        <v>16</v>
      </c>
      <c r="D508" s="225" t="s">
        <v>1454</v>
      </c>
      <c r="E508" s="190">
        <v>90</v>
      </c>
      <c r="F508" s="227" t="s">
        <v>1297</v>
      </c>
      <c r="G508" s="233">
        <v>43855</v>
      </c>
      <c r="H508" s="252">
        <v>216</v>
      </c>
      <c r="I508" s="188">
        <v>260</v>
      </c>
      <c r="J508" s="188">
        <f>+I508*H508</f>
        <v>56160</v>
      </c>
      <c r="K508" s="232">
        <v>43857</v>
      </c>
      <c r="L508" s="192"/>
      <c r="M508" s="317"/>
      <c r="N508" s="261" t="s">
        <v>1350</v>
      </c>
      <c r="O508" s="261">
        <v>43847</v>
      </c>
    </row>
    <row r="509" spans="1:15" s="250" customFormat="1" ht="13.5" customHeight="1" x14ac:dyDescent="0.3">
      <c r="A509" s="185" t="s">
        <v>1323</v>
      </c>
      <c r="B509" s="251" t="s">
        <v>1326</v>
      </c>
      <c r="C509" s="187" t="s">
        <v>905</v>
      </c>
      <c r="D509" s="225" t="s">
        <v>1364</v>
      </c>
      <c r="E509" s="190">
        <v>120</v>
      </c>
      <c r="F509" s="227" t="s">
        <v>20</v>
      </c>
      <c r="G509" s="233">
        <v>43857</v>
      </c>
      <c r="H509" s="252">
        <v>906.5</v>
      </c>
      <c r="I509" s="188">
        <v>513.59</v>
      </c>
      <c r="J509" s="188">
        <f>+I509*H509</f>
        <v>465569.33500000002</v>
      </c>
      <c r="K509" s="232">
        <v>43857</v>
      </c>
      <c r="L509" s="192" t="s">
        <v>499</v>
      </c>
      <c r="M509" s="317"/>
      <c r="N509" s="265"/>
      <c r="O509" s="265"/>
    </row>
    <row r="510" spans="1:15" s="250" customFormat="1" ht="13.5" customHeight="1" x14ac:dyDescent="0.3">
      <c r="A510" s="185" t="s">
        <v>1402</v>
      </c>
      <c r="B510" s="251" t="s">
        <v>1326</v>
      </c>
      <c r="C510" s="187" t="s">
        <v>7</v>
      </c>
      <c r="D510" s="225" t="s">
        <v>1448</v>
      </c>
      <c r="E510" s="190">
        <v>90</v>
      </c>
      <c r="F510" s="227" t="s">
        <v>1297</v>
      </c>
      <c r="G510" s="233">
        <v>43859</v>
      </c>
      <c r="H510" s="252">
        <v>300</v>
      </c>
      <c r="I510" s="188">
        <v>505</v>
      </c>
      <c r="J510" s="188">
        <f>+I510*H510</f>
        <v>151500</v>
      </c>
      <c r="K510" s="232">
        <v>43860</v>
      </c>
      <c r="L510" s="192"/>
      <c r="M510" s="317"/>
      <c r="N510" s="261" t="s">
        <v>1350</v>
      </c>
      <c r="O510" s="261">
        <v>43847</v>
      </c>
    </row>
    <row r="511" spans="1:15" s="250" customFormat="1" ht="13.5" customHeight="1" x14ac:dyDescent="0.3">
      <c r="A511" s="185" t="s">
        <v>1404</v>
      </c>
      <c r="B511" s="251" t="s">
        <v>1326</v>
      </c>
      <c r="C511" s="187" t="s">
        <v>7</v>
      </c>
      <c r="D511" s="225" t="s">
        <v>1449</v>
      </c>
      <c r="E511" s="190">
        <v>90</v>
      </c>
      <c r="F511" s="227" t="s">
        <v>1297</v>
      </c>
      <c r="G511" s="233">
        <v>43859</v>
      </c>
      <c r="H511" s="252">
        <v>650</v>
      </c>
      <c r="I511" s="188">
        <v>505</v>
      </c>
      <c r="J511" s="188">
        <f>+I511*H511</f>
        <v>328250</v>
      </c>
      <c r="K511" s="232">
        <v>43860</v>
      </c>
      <c r="L511" s="192"/>
      <c r="M511" s="317"/>
      <c r="N511" s="261" t="s">
        <v>1350</v>
      </c>
      <c r="O511" s="261">
        <v>43847</v>
      </c>
    </row>
    <row r="512" spans="1:15" s="250" customFormat="1" ht="13.5" customHeight="1" x14ac:dyDescent="0.25">
      <c r="A512" s="185" t="s">
        <v>514</v>
      </c>
      <c r="B512" s="251" t="s">
        <v>1326</v>
      </c>
      <c r="C512" s="187" t="s">
        <v>7</v>
      </c>
      <c r="D512" s="225" t="s">
        <v>1475</v>
      </c>
      <c r="E512" s="190"/>
      <c r="F512" s="227"/>
      <c r="G512" s="233">
        <v>43859</v>
      </c>
      <c r="H512" s="252"/>
      <c r="I512" s="188"/>
      <c r="J512" s="188">
        <v>-5886.41</v>
      </c>
      <c r="K512" s="232">
        <v>43860</v>
      </c>
      <c r="L512" s="192"/>
      <c r="M512" s="317"/>
      <c r="N512" s="261"/>
      <c r="O512" s="261"/>
    </row>
    <row r="513" spans="1:15" s="250" customFormat="1" ht="13.5" customHeight="1" x14ac:dyDescent="0.3">
      <c r="A513" s="185" t="s">
        <v>1412</v>
      </c>
      <c r="B513" s="251" t="s">
        <v>359</v>
      </c>
      <c r="C513" s="187" t="s">
        <v>41</v>
      </c>
      <c r="D513" s="225" t="s">
        <v>1410</v>
      </c>
      <c r="E513" s="190">
        <v>120</v>
      </c>
      <c r="F513" s="227" t="s">
        <v>20</v>
      </c>
      <c r="G513" s="233">
        <v>43864</v>
      </c>
      <c r="H513" s="252">
        <v>216</v>
      </c>
      <c r="I513" s="188">
        <v>733</v>
      </c>
      <c r="J513" s="188">
        <f>+I513*H513</f>
        <v>158328</v>
      </c>
      <c r="K513" s="232">
        <v>43864</v>
      </c>
      <c r="L513" s="192"/>
      <c r="M513" s="317"/>
      <c r="N513" s="261" t="s">
        <v>1350</v>
      </c>
      <c r="O513" s="261">
        <v>43847</v>
      </c>
    </row>
    <row r="514" spans="1:15" s="250" customFormat="1" ht="13.5" customHeight="1" x14ac:dyDescent="0.25">
      <c r="A514" s="185" t="s">
        <v>514</v>
      </c>
      <c r="B514" s="251" t="s">
        <v>359</v>
      </c>
      <c r="C514" s="187" t="s">
        <v>41</v>
      </c>
      <c r="D514" s="225" t="s">
        <v>1442</v>
      </c>
      <c r="E514" s="190"/>
      <c r="F514" s="227"/>
      <c r="G514" s="233">
        <v>43864</v>
      </c>
      <c r="H514" s="252"/>
      <c r="I514" s="188"/>
      <c r="J514" s="188">
        <v>-2822.27</v>
      </c>
      <c r="K514" s="232">
        <v>43864</v>
      </c>
      <c r="L514" s="192"/>
      <c r="M514" s="317"/>
      <c r="N514" s="261" t="s">
        <v>1350</v>
      </c>
      <c r="O514" s="261">
        <v>43847</v>
      </c>
    </row>
    <row r="515" spans="1:15" s="250" customFormat="1" ht="13.5" customHeight="1" x14ac:dyDescent="0.3">
      <c r="A515" s="185" t="s">
        <v>1413</v>
      </c>
      <c r="B515" s="251" t="s">
        <v>359</v>
      </c>
      <c r="C515" s="187" t="s">
        <v>41</v>
      </c>
      <c r="D515" s="225" t="s">
        <v>1411</v>
      </c>
      <c r="E515" s="190">
        <v>120</v>
      </c>
      <c r="F515" s="227" t="s">
        <v>20</v>
      </c>
      <c r="G515" s="233">
        <v>43868</v>
      </c>
      <c r="H515" s="252">
        <v>144</v>
      </c>
      <c r="I515" s="188">
        <v>733</v>
      </c>
      <c r="J515" s="188">
        <v>105552</v>
      </c>
      <c r="K515" s="232">
        <v>43864</v>
      </c>
      <c r="L515" s="192"/>
      <c r="M515" s="317"/>
      <c r="N515" s="265" t="s">
        <v>1350</v>
      </c>
      <c r="O515" s="265">
        <v>43865</v>
      </c>
    </row>
    <row r="516" spans="1:15" s="250" customFormat="1" ht="13.5" customHeight="1" x14ac:dyDescent="0.3">
      <c r="A516" s="185" t="s">
        <v>1357</v>
      </c>
      <c r="B516" s="251" t="s">
        <v>1293</v>
      </c>
      <c r="C516" s="187" t="s">
        <v>16</v>
      </c>
      <c r="D516" s="225" t="s">
        <v>1453</v>
      </c>
      <c r="E516" s="190">
        <v>90</v>
      </c>
      <c r="F516" s="227" t="s">
        <v>1297</v>
      </c>
      <c r="G516" s="233">
        <v>43872</v>
      </c>
      <c r="H516" s="252">
        <v>200</v>
      </c>
      <c r="I516" s="188">
        <v>252</v>
      </c>
      <c r="J516" s="188">
        <v>50400</v>
      </c>
      <c r="K516" s="232">
        <v>43872</v>
      </c>
      <c r="L516" s="192"/>
      <c r="M516" s="317"/>
      <c r="N516" s="265" t="s">
        <v>1350</v>
      </c>
      <c r="O516" s="265">
        <v>43865</v>
      </c>
    </row>
    <row r="517" spans="1:15" s="250" customFormat="1" ht="13.5" customHeight="1" x14ac:dyDescent="0.3">
      <c r="A517" s="185" t="s">
        <v>1426</v>
      </c>
      <c r="B517" s="251" t="s">
        <v>1326</v>
      </c>
      <c r="C517" s="187" t="s">
        <v>27</v>
      </c>
      <c r="D517" s="225" t="s">
        <v>1464</v>
      </c>
      <c r="E517" s="190">
        <v>90</v>
      </c>
      <c r="F517" s="227" t="s">
        <v>1297</v>
      </c>
      <c r="G517" s="233">
        <v>43872</v>
      </c>
      <c r="H517" s="252">
        <v>300</v>
      </c>
      <c r="I517" s="188">
        <v>481</v>
      </c>
      <c r="J517" s="188">
        <v>144300</v>
      </c>
      <c r="K517" s="232">
        <v>43872</v>
      </c>
      <c r="L517" s="192"/>
      <c r="M517" s="317"/>
      <c r="N517" s="265" t="s">
        <v>1350</v>
      </c>
      <c r="O517" s="265">
        <v>43865</v>
      </c>
    </row>
    <row r="518" spans="1:15" s="250" customFormat="1" ht="13.5" customHeight="1" x14ac:dyDescent="0.3">
      <c r="A518" s="185" t="s">
        <v>1425</v>
      </c>
      <c r="B518" s="251" t="s">
        <v>1326</v>
      </c>
      <c r="C518" s="187" t="s">
        <v>27</v>
      </c>
      <c r="D518" s="225" t="s">
        <v>1463</v>
      </c>
      <c r="E518" s="190">
        <v>90</v>
      </c>
      <c r="F518" s="227" t="s">
        <v>1297</v>
      </c>
      <c r="G518" s="233">
        <v>43877</v>
      </c>
      <c r="H518" s="252">
        <v>300</v>
      </c>
      <c r="I518" s="188">
        <v>466.9</v>
      </c>
      <c r="J518" s="188">
        <f>+I518*H518</f>
        <v>140070</v>
      </c>
      <c r="K518" s="232">
        <v>43879</v>
      </c>
      <c r="L518" s="192"/>
      <c r="M518" s="317"/>
      <c r="N518" s="266" t="s">
        <v>1350</v>
      </c>
      <c r="O518" s="266">
        <v>43865</v>
      </c>
    </row>
    <row r="519" spans="1:15" s="250" customFormat="1" ht="13.5" customHeight="1" x14ac:dyDescent="0.3">
      <c r="A519" s="185" t="s">
        <v>1421</v>
      </c>
      <c r="B519" s="251" t="s">
        <v>1325</v>
      </c>
      <c r="C519" s="187" t="s">
        <v>928</v>
      </c>
      <c r="D519" s="225" t="s">
        <v>1456</v>
      </c>
      <c r="E519" s="190">
        <v>90</v>
      </c>
      <c r="F519" s="227" t="s">
        <v>1297</v>
      </c>
      <c r="G519" s="233">
        <v>43880</v>
      </c>
      <c r="H519" s="252">
        <v>408</v>
      </c>
      <c r="I519" s="188">
        <v>870</v>
      </c>
      <c r="J519" s="188">
        <v>354960</v>
      </c>
      <c r="K519" s="232">
        <v>43881</v>
      </c>
      <c r="L519" s="192"/>
      <c r="M519" s="317"/>
      <c r="N519" s="267" t="s">
        <v>1350</v>
      </c>
      <c r="O519" s="267">
        <v>43865</v>
      </c>
    </row>
    <row r="520" spans="1:15" s="250" customFormat="1" ht="13.5" customHeight="1" x14ac:dyDescent="0.3">
      <c r="A520" s="185" t="s">
        <v>514</v>
      </c>
      <c r="B520" s="251" t="s">
        <v>1325</v>
      </c>
      <c r="C520" s="187" t="s">
        <v>928</v>
      </c>
      <c r="D520" s="225" t="s">
        <v>1474</v>
      </c>
      <c r="E520" s="190"/>
      <c r="F520" s="227"/>
      <c r="G520" s="233"/>
      <c r="H520" s="252"/>
      <c r="I520" s="188"/>
      <c r="J520" s="188">
        <v>-2766.98</v>
      </c>
      <c r="K520" s="232">
        <v>43881</v>
      </c>
      <c r="L520" s="192"/>
      <c r="M520" s="317"/>
      <c r="N520" s="268"/>
      <c r="O520" s="268"/>
    </row>
    <row r="521" spans="1:15" s="250" customFormat="1" ht="13.5" customHeight="1" x14ac:dyDescent="0.3">
      <c r="A521" s="185" t="s">
        <v>1422</v>
      </c>
      <c r="B521" s="251" t="s">
        <v>1325</v>
      </c>
      <c r="C521" s="187" t="s">
        <v>928</v>
      </c>
      <c r="D521" s="225" t="s">
        <v>1504</v>
      </c>
      <c r="E521" s="190">
        <v>90</v>
      </c>
      <c r="F521" s="227" t="s">
        <v>1297</v>
      </c>
      <c r="G521" s="233">
        <v>43882</v>
      </c>
      <c r="H521" s="252">
        <v>408</v>
      </c>
      <c r="I521" s="188">
        <v>880</v>
      </c>
      <c r="J521" s="188">
        <f>+I521*H521</f>
        <v>359040</v>
      </c>
      <c r="K521" s="232">
        <v>43881</v>
      </c>
      <c r="L521" s="192"/>
      <c r="M521" s="317"/>
      <c r="N521" s="268" t="s">
        <v>1350</v>
      </c>
      <c r="O521" s="268">
        <v>43865</v>
      </c>
    </row>
    <row r="522" spans="1:15" s="250" customFormat="1" ht="13.5" customHeight="1" x14ac:dyDescent="0.3">
      <c r="A522" s="185" t="s">
        <v>1424</v>
      </c>
      <c r="B522" s="251" t="s">
        <v>1292</v>
      </c>
      <c r="C522" s="187" t="s">
        <v>280</v>
      </c>
      <c r="D522" s="225" t="s">
        <v>1462</v>
      </c>
      <c r="E522" s="190">
        <v>90</v>
      </c>
      <c r="F522" s="227" t="s">
        <v>1297</v>
      </c>
      <c r="G522" s="233">
        <v>43880</v>
      </c>
      <c r="H522" s="252">
        <v>108</v>
      </c>
      <c r="I522" s="188">
        <v>145</v>
      </c>
      <c r="J522" s="188">
        <v>15660</v>
      </c>
      <c r="K522" s="232">
        <v>43881</v>
      </c>
      <c r="L522" s="192"/>
      <c r="M522" s="317"/>
      <c r="N522" s="267" t="s">
        <v>1350</v>
      </c>
      <c r="O522" s="267">
        <v>43865</v>
      </c>
    </row>
    <row r="523" spans="1:15" s="250" customFormat="1" ht="13.5" customHeight="1" x14ac:dyDescent="0.3">
      <c r="A523" s="185" t="s">
        <v>1428</v>
      </c>
      <c r="B523" s="251" t="s">
        <v>1326</v>
      </c>
      <c r="C523" s="187" t="s">
        <v>27</v>
      </c>
      <c r="D523" s="225" t="s">
        <v>1506</v>
      </c>
      <c r="E523" s="190">
        <v>90</v>
      </c>
      <c r="F523" s="227" t="s">
        <v>1297</v>
      </c>
      <c r="G523" s="233">
        <v>43885</v>
      </c>
      <c r="H523" s="252">
        <v>600</v>
      </c>
      <c r="I523" s="188">
        <v>481</v>
      </c>
      <c r="J523" s="188">
        <f t="shared" ref="J523:J529" si="10">+I523*H523</f>
        <v>288600</v>
      </c>
      <c r="K523" s="232">
        <v>43888</v>
      </c>
      <c r="L523" s="192"/>
      <c r="M523" s="317"/>
      <c r="N523" s="268" t="s">
        <v>1350</v>
      </c>
      <c r="O523" s="268">
        <v>43865</v>
      </c>
    </row>
    <row r="524" spans="1:15" s="250" customFormat="1" ht="13.5" customHeight="1" x14ac:dyDescent="0.3">
      <c r="A524" s="185" t="s">
        <v>1510</v>
      </c>
      <c r="B524" s="251" t="s">
        <v>1388</v>
      </c>
      <c r="C524" s="187" t="s">
        <v>46</v>
      </c>
      <c r="D524" s="225" t="s">
        <v>552</v>
      </c>
      <c r="E524" s="190">
        <v>120</v>
      </c>
      <c r="F524" s="227" t="s">
        <v>1297</v>
      </c>
      <c r="G524" s="233">
        <v>43889</v>
      </c>
      <c r="H524" s="252">
        <v>2750</v>
      </c>
      <c r="I524" s="188">
        <v>322.93</v>
      </c>
      <c r="J524" s="188">
        <f t="shared" si="10"/>
        <v>888057.5</v>
      </c>
      <c r="K524" s="232">
        <v>43889</v>
      </c>
      <c r="L524" s="192" t="s">
        <v>499</v>
      </c>
      <c r="M524" s="317"/>
      <c r="N524" s="268" t="s">
        <v>1350</v>
      </c>
      <c r="O524" s="268">
        <v>43865</v>
      </c>
    </row>
    <row r="525" spans="1:15" s="250" customFormat="1" ht="13.5" customHeight="1" x14ac:dyDescent="0.3">
      <c r="A525" s="185" t="s">
        <v>1355</v>
      </c>
      <c r="B525" s="251" t="s">
        <v>1349</v>
      </c>
      <c r="C525" s="187" t="s">
        <v>50</v>
      </c>
      <c r="D525" s="225" t="s">
        <v>552</v>
      </c>
      <c r="E525" s="190">
        <v>120</v>
      </c>
      <c r="F525" s="227" t="s">
        <v>20</v>
      </c>
      <c r="G525" s="233">
        <v>43888</v>
      </c>
      <c r="H525" s="252">
        <v>8800</v>
      </c>
      <c r="I525" s="188">
        <v>287.8</v>
      </c>
      <c r="J525" s="188">
        <f t="shared" si="10"/>
        <v>2532640</v>
      </c>
      <c r="K525" s="232">
        <v>43889</v>
      </c>
      <c r="L525" s="192" t="s">
        <v>987</v>
      </c>
      <c r="M525" s="317"/>
      <c r="N525" s="268" t="s">
        <v>1350</v>
      </c>
      <c r="O525" s="268">
        <v>43865</v>
      </c>
    </row>
    <row r="526" spans="1:15" s="250" customFormat="1" ht="13.5" customHeight="1" x14ac:dyDescent="0.3">
      <c r="A526" s="185" t="s">
        <v>1356</v>
      </c>
      <c r="B526" s="251" t="s">
        <v>1409</v>
      </c>
      <c r="C526" s="187" t="s">
        <v>50</v>
      </c>
      <c r="D526" s="225" t="s">
        <v>552</v>
      </c>
      <c r="E526" s="190">
        <v>120</v>
      </c>
      <c r="F526" s="227" t="s">
        <v>20</v>
      </c>
      <c r="G526" s="233">
        <v>43888</v>
      </c>
      <c r="H526" s="252">
        <v>6600</v>
      </c>
      <c r="I526" s="188">
        <v>257.5</v>
      </c>
      <c r="J526" s="188">
        <f t="shared" si="10"/>
        <v>1699500</v>
      </c>
      <c r="K526" s="232">
        <v>43889</v>
      </c>
      <c r="L526" s="192" t="s">
        <v>987</v>
      </c>
      <c r="M526" s="317"/>
      <c r="N526" s="268" t="s">
        <v>1350</v>
      </c>
      <c r="O526" s="268">
        <v>43865</v>
      </c>
    </row>
    <row r="527" spans="1:15" s="250" customFormat="1" ht="13.5" customHeight="1" x14ac:dyDescent="0.3">
      <c r="A527" s="185" t="s">
        <v>1377</v>
      </c>
      <c r="B527" s="251" t="s">
        <v>1293</v>
      </c>
      <c r="C527" s="187" t="s">
        <v>1294</v>
      </c>
      <c r="D527" s="225" t="s">
        <v>1455</v>
      </c>
      <c r="E527" s="190">
        <v>90</v>
      </c>
      <c r="F527" s="227" t="s">
        <v>1297</v>
      </c>
      <c r="G527" s="233">
        <v>43887</v>
      </c>
      <c r="H527" s="252">
        <v>162</v>
      </c>
      <c r="I527" s="188">
        <v>277</v>
      </c>
      <c r="J527" s="188">
        <f t="shared" si="10"/>
        <v>44874</v>
      </c>
      <c r="K527" s="232">
        <v>43889</v>
      </c>
      <c r="L527" s="192"/>
      <c r="M527" s="317"/>
      <c r="N527" s="268" t="s">
        <v>1350</v>
      </c>
      <c r="O527" s="268">
        <v>43865</v>
      </c>
    </row>
    <row r="528" spans="1:15" s="250" customFormat="1" ht="13.5" customHeight="1" x14ac:dyDescent="0.3">
      <c r="A528" s="185" t="s">
        <v>1427</v>
      </c>
      <c r="B528" s="251" t="s">
        <v>1326</v>
      </c>
      <c r="C528" s="187" t="s">
        <v>27</v>
      </c>
      <c r="D528" s="225" t="s">
        <v>1505</v>
      </c>
      <c r="E528" s="190">
        <v>90</v>
      </c>
      <c r="F528" s="227" t="s">
        <v>1297</v>
      </c>
      <c r="G528" s="233">
        <v>43889</v>
      </c>
      <c r="H528" s="252">
        <v>300</v>
      </c>
      <c r="I528" s="188">
        <v>466.9</v>
      </c>
      <c r="J528" s="188">
        <f t="shared" si="10"/>
        <v>140070</v>
      </c>
      <c r="K528" s="232">
        <v>43892</v>
      </c>
      <c r="L528" s="192"/>
      <c r="M528" s="317"/>
      <c r="N528" s="268" t="s">
        <v>1350</v>
      </c>
      <c r="O528" s="268">
        <v>43865</v>
      </c>
    </row>
    <row r="529" spans="1:15" s="250" customFormat="1" ht="13.5" customHeight="1" x14ac:dyDescent="0.3">
      <c r="A529" s="185" t="s">
        <v>1423</v>
      </c>
      <c r="B529" s="251" t="s">
        <v>1292</v>
      </c>
      <c r="C529" s="187" t="s">
        <v>280</v>
      </c>
      <c r="D529" s="225" t="s">
        <v>1459</v>
      </c>
      <c r="E529" s="190">
        <v>90</v>
      </c>
      <c r="F529" s="227" t="s">
        <v>1297</v>
      </c>
      <c r="G529" s="233">
        <v>43889</v>
      </c>
      <c r="H529" s="252">
        <v>800.4</v>
      </c>
      <c r="I529" s="188">
        <v>119.5</v>
      </c>
      <c r="J529" s="188">
        <f t="shared" si="10"/>
        <v>95647.8</v>
      </c>
      <c r="K529" s="232">
        <v>43893</v>
      </c>
      <c r="L529" s="192"/>
      <c r="M529" s="317"/>
      <c r="N529" s="269" t="s">
        <v>1350</v>
      </c>
      <c r="O529" s="269">
        <v>43892</v>
      </c>
    </row>
    <row r="530" spans="1:15" s="250" customFormat="1" ht="13.5" customHeight="1" x14ac:dyDescent="0.3">
      <c r="A530" s="185" t="s">
        <v>1429</v>
      </c>
      <c r="B530" s="251" t="s">
        <v>502</v>
      </c>
      <c r="C530" s="187" t="s">
        <v>280</v>
      </c>
      <c r="D530" s="225" t="s">
        <v>1465</v>
      </c>
      <c r="E530" s="190">
        <v>90</v>
      </c>
      <c r="F530" s="227" t="s">
        <v>1297</v>
      </c>
      <c r="G530" s="233">
        <v>43889</v>
      </c>
      <c r="H530" s="252">
        <v>300</v>
      </c>
      <c r="I530" s="188">
        <v>515</v>
      </c>
      <c r="J530" s="188">
        <v>154500</v>
      </c>
      <c r="K530" s="232">
        <v>43893</v>
      </c>
      <c r="L530" s="192"/>
      <c r="M530" s="317"/>
      <c r="N530" s="269" t="s">
        <v>1350</v>
      </c>
      <c r="O530" s="269">
        <v>43865</v>
      </c>
    </row>
    <row r="531" spans="1:15" s="250" customFormat="1" ht="13.5" customHeight="1" x14ac:dyDescent="0.3">
      <c r="A531" s="185" t="s">
        <v>1379</v>
      </c>
      <c r="B531" s="251" t="s">
        <v>1349</v>
      </c>
      <c r="C531" s="187" t="s">
        <v>426</v>
      </c>
      <c r="D531" s="225" t="s">
        <v>552</v>
      </c>
      <c r="E531" s="190">
        <v>120</v>
      </c>
      <c r="F531" s="227" t="s">
        <v>1297</v>
      </c>
      <c r="G531" s="233">
        <v>43894</v>
      </c>
      <c r="H531" s="252">
        <v>1650</v>
      </c>
      <c r="I531" s="188">
        <v>294.35000000000002</v>
      </c>
      <c r="J531" s="188">
        <f>+I531*H531</f>
        <v>485677.50000000006</v>
      </c>
      <c r="K531" s="232">
        <v>43895</v>
      </c>
      <c r="L531" s="192"/>
      <c r="M531" s="317"/>
      <c r="N531" s="270"/>
      <c r="O531" s="270"/>
    </row>
    <row r="532" spans="1:15" s="250" customFormat="1" ht="13.5" customHeight="1" x14ac:dyDescent="0.3">
      <c r="A532" s="185" t="s">
        <v>1380</v>
      </c>
      <c r="B532" s="251" t="s">
        <v>1386</v>
      </c>
      <c r="C532" s="187" t="s">
        <v>426</v>
      </c>
      <c r="D532" s="225" t="s">
        <v>552</v>
      </c>
      <c r="E532" s="190">
        <v>120</v>
      </c>
      <c r="F532" s="227" t="s">
        <v>1297</v>
      </c>
      <c r="G532" s="233">
        <v>43894</v>
      </c>
      <c r="H532" s="252">
        <v>3300</v>
      </c>
      <c r="I532" s="188">
        <v>307.54000000000002</v>
      </c>
      <c r="J532" s="188">
        <f>+I532*H532</f>
        <v>1014882.0000000001</v>
      </c>
      <c r="K532" s="232">
        <v>43895</v>
      </c>
      <c r="L532" s="192"/>
      <c r="M532" s="317"/>
      <c r="N532" s="270"/>
      <c r="O532" s="270"/>
    </row>
    <row r="533" spans="1:15" s="250" customFormat="1" ht="13.5" customHeight="1" x14ac:dyDescent="0.3">
      <c r="A533" s="185" t="s">
        <v>1381</v>
      </c>
      <c r="B533" s="251" t="s">
        <v>1387</v>
      </c>
      <c r="C533" s="187" t="s">
        <v>426</v>
      </c>
      <c r="D533" s="225" t="s">
        <v>552</v>
      </c>
      <c r="E533" s="190">
        <v>120</v>
      </c>
      <c r="F533" s="227" t="s">
        <v>1297</v>
      </c>
      <c r="G533" s="233">
        <v>43894</v>
      </c>
      <c r="H533" s="252">
        <v>3850</v>
      </c>
      <c r="I533" s="188">
        <v>346.11</v>
      </c>
      <c r="J533" s="188">
        <f>+I533*H533</f>
        <v>1332523.5</v>
      </c>
      <c r="K533" s="232">
        <v>43895</v>
      </c>
      <c r="L533" s="192"/>
      <c r="M533" s="317"/>
      <c r="N533" s="270"/>
      <c r="O533" s="270"/>
    </row>
    <row r="534" spans="1:15" s="250" customFormat="1" ht="13.5" customHeight="1" x14ac:dyDescent="0.3">
      <c r="A534" s="185" t="s">
        <v>1469</v>
      </c>
      <c r="B534" s="251" t="s">
        <v>530</v>
      </c>
      <c r="C534" s="187" t="s">
        <v>280</v>
      </c>
      <c r="D534" s="225" t="s">
        <v>1420</v>
      </c>
      <c r="E534" s="190">
        <v>90</v>
      </c>
      <c r="F534" s="227" t="s">
        <v>20</v>
      </c>
      <c r="G534" s="233">
        <v>43896</v>
      </c>
      <c r="H534" s="252">
        <v>543.4</v>
      </c>
      <c r="I534" s="188">
        <v>118</v>
      </c>
      <c r="J534" s="188">
        <v>64121.2</v>
      </c>
      <c r="K534" s="232">
        <v>43899</v>
      </c>
      <c r="L534" s="192"/>
      <c r="M534" s="317"/>
      <c r="N534" s="271" t="s">
        <v>1350</v>
      </c>
      <c r="O534" s="271">
        <v>43895</v>
      </c>
    </row>
    <row r="535" spans="1:15" s="250" customFormat="1" ht="13.5" customHeight="1" x14ac:dyDescent="0.3">
      <c r="A535" s="185" t="s">
        <v>1430</v>
      </c>
      <c r="B535" s="251" t="s">
        <v>502</v>
      </c>
      <c r="C535" s="187" t="s">
        <v>280</v>
      </c>
      <c r="D535" s="225" t="s">
        <v>1466</v>
      </c>
      <c r="E535" s="190">
        <v>90</v>
      </c>
      <c r="F535" s="227" t="s">
        <v>1297</v>
      </c>
      <c r="G535" s="233">
        <v>43896</v>
      </c>
      <c r="H535" s="252">
        <v>171.6</v>
      </c>
      <c r="I535" s="188">
        <v>512</v>
      </c>
      <c r="J535" s="188">
        <v>87859.199999999997</v>
      </c>
      <c r="K535" s="232">
        <v>43899</v>
      </c>
      <c r="L535" s="192"/>
      <c r="M535" s="317"/>
      <c r="N535" s="271" t="s">
        <v>1533</v>
      </c>
      <c r="O535" s="271"/>
    </row>
    <row r="536" spans="1:15" s="250" customFormat="1" ht="13.5" customHeight="1" x14ac:dyDescent="0.3">
      <c r="A536" s="185" t="s">
        <v>1432</v>
      </c>
      <c r="B536" s="251" t="s">
        <v>1326</v>
      </c>
      <c r="C536" s="187" t="s">
        <v>27</v>
      </c>
      <c r="D536" s="225" t="s">
        <v>1508</v>
      </c>
      <c r="E536" s="190">
        <v>90</v>
      </c>
      <c r="F536" s="227" t="s">
        <v>1297</v>
      </c>
      <c r="G536" s="233">
        <v>43899</v>
      </c>
      <c r="H536" s="252">
        <v>600</v>
      </c>
      <c r="I536" s="188">
        <v>481</v>
      </c>
      <c r="J536" s="188">
        <f t="shared" ref="J536:J546" si="11">+I536*H536</f>
        <v>288600</v>
      </c>
      <c r="K536" s="232">
        <v>43900</v>
      </c>
      <c r="L536" s="192"/>
      <c r="M536" s="317"/>
      <c r="N536" s="271" t="s">
        <v>1350</v>
      </c>
      <c r="O536" s="271">
        <v>43895</v>
      </c>
    </row>
    <row r="537" spans="1:15" s="250" customFormat="1" ht="13.5" customHeight="1" x14ac:dyDescent="0.3">
      <c r="A537" s="185" t="s">
        <v>1432</v>
      </c>
      <c r="B537" s="251" t="s">
        <v>1326</v>
      </c>
      <c r="C537" s="187" t="s">
        <v>27</v>
      </c>
      <c r="D537" s="225" t="s">
        <v>1509</v>
      </c>
      <c r="E537" s="190">
        <v>90</v>
      </c>
      <c r="F537" s="227" t="s">
        <v>1297</v>
      </c>
      <c r="G537" s="233">
        <v>43899</v>
      </c>
      <c r="H537" s="252">
        <v>600</v>
      </c>
      <c r="I537" s="188">
        <v>481</v>
      </c>
      <c r="J537" s="188">
        <f t="shared" si="11"/>
        <v>288600</v>
      </c>
      <c r="K537" s="232">
        <v>43900</v>
      </c>
      <c r="L537" s="192"/>
      <c r="M537" s="317"/>
      <c r="N537" s="271" t="s">
        <v>1350</v>
      </c>
      <c r="O537" s="271">
        <v>43895</v>
      </c>
    </row>
    <row r="538" spans="1:15" s="250" customFormat="1" ht="13.5" customHeight="1" x14ac:dyDescent="0.3">
      <c r="A538" s="185" t="s">
        <v>1457</v>
      </c>
      <c r="B538" s="251" t="s">
        <v>1292</v>
      </c>
      <c r="C538" s="187" t="s">
        <v>280</v>
      </c>
      <c r="D538" s="225" t="s">
        <v>1460</v>
      </c>
      <c r="E538" s="190">
        <v>90</v>
      </c>
      <c r="F538" s="227" t="s">
        <v>1297</v>
      </c>
      <c r="G538" s="233">
        <v>43902</v>
      </c>
      <c r="H538" s="252">
        <v>286</v>
      </c>
      <c r="I538" s="188">
        <v>122</v>
      </c>
      <c r="J538" s="188">
        <f t="shared" si="11"/>
        <v>34892</v>
      </c>
      <c r="K538" s="232">
        <v>43903</v>
      </c>
      <c r="L538" s="192"/>
      <c r="M538" s="317"/>
      <c r="N538" s="271" t="s">
        <v>1350</v>
      </c>
      <c r="O538" s="271">
        <v>43895</v>
      </c>
    </row>
    <row r="539" spans="1:15" s="250" customFormat="1" ht="13.5" customHeight="1" x14ac:dyDescent="0.3">
      <c r="A539" s="185" t="s">
        <v>1458</v>
      </c>
      <c r="B539" s="251" t="s">
        <v>1292</v>
      </c>
      <c r="C539" s="187" t="s">
        <v>280</v>
      </c>
      <c r="D539" s="225" t="s">
        <v>1461</v>
      </c>
      <c r="E539" s="190">
        <v>90</v>
      </c>
      <c r="F539" s="227" t="s">
        <v>1297</v>
      </c>
      <c r="G539" s="233">
        <v>43903</v>
      </c>
      <c r="H539" s="252">
        <v>514.79999999999995</v>
      </c>
      <c r="I539" s="188">
        <v>122</v>
      </c>
      <c r="J539" s="188">
        <f t="shared" si="11"/>
        <v>62805.599999999991</v>
      </c>
      <c r="K539" s="232">
        <v>43903</v>
      </c>
      <c r="L539" s="192"/>
      <c r="M539" s="317"/>
      <c r="N539" s="271" t="s">
        <v>1350</v>
      </c>
      <c r="O539" s="271">
        <v>43895</v>
      </c>
    </row>
    <row r="540" spans="1:15" s="250" customFormat="1" ht="13.5" customHeight="1" x14ac:dyDescent="0.3">
      <c r="A540" s="185" t="s">
        <v>1437</v>
      </c>
      <c r="B540" s="251" t="s">
        <v>1440</v>
      </c>
      <c r="C540" s="187" t="s">
        <v>245</v>
      </c>
      <c r="D540" s="225" t="s">
        <v>1498</v>
      </c>
      <c r="E540" s="190">
        <v>90</v>
      </c>
      <c r="F540" s="227" t="s">
        <v>20</v>
      </c>
      <c r="G540" s="233">
        <v>43902</v>
      </c>
      <c r="H540" s="252">
        <v>48</v>
      </c>
      <c r="I540" s="188">
        <v>700</v>
      </c>
      <c r="J540" s="188">
        <f t="shared" si="11"/>
        <v>33600</v>
      </c>
      <c r="K540" s="232">
        <v>43903</v>
      </c>
      <c r="L540" s="192"/>
      <c r="M540" s="317"/>
      <c r="N540" s="271" t="s">
        <v>1350</v>
      </c>
      <c r="O540" s="271">
        <v>43895</v>
      </c>
    </row>
    <row r="541" spans="1:15" s="250" customFormat="1" ht="13.5" customHeight="1" x14ac:dyDescent="0.3">
      <c r="A541" s="185" t="s">
        <v>1431</v>
      </c>
      <c r="B541" s="251" t="s">
        <v>1326</v>
      </c>
      <c r="C541" s="187" t="s">
        <v>27</v>
      </c>
      <c r="D541" s="225" t="s">
        <v>1507</v>
      </c>
      <c r="E541" s="190">
        <v>90</v>
      </c>
      <c r="F541" s="227" t="s">
        <v>1297</v>
      </c>
      <c r="G541" s="233">
        <v>43903</v>
      </c>
      <c r="H541" s="252">
        <v>300</v>
      </c>
      <c r="I541" s="188">
        <v>466.9</v>
      </c>
      <c r="J541" s="188">
        <f t="shared" si="11"/>
        <v>140070</v>
      </c>
      <c r="K541" s="232">
        <v>43903</v>
      </c>
      <c r="L541" s="192"/>
      <c r="M541" s="317"/>
      <c r="N541" s="271" t="s">
        <v>1350</v>
      </c>
      <c r="O541" s="271">
        <v>43895</v>
      </c>
    </row>
    <row r="542" spans="1:15" s="250" customFormat="1" ht="13.5" customHeight="1" x14ac:dyDescent="0.3">
      <c r="A542" s="185" t="s">
        <v>1438</v>
      </c>
      <c r="B542" s="251" t="s">
        <v>1440</v>
      </c>
      <c r="C542" s="187" t="s">
        <v>245</v>
      </c>
      <c r="D542" s="225" t="s">
        <v>1499</v>
      </c>
      <c r="E542" s="190">
        <v>90</v>
      </c>
      <c r="F542" s="227" t="s">
        <v>20</v>
      </c>
      <c r="G542" s="233">
        <v>43912</v>
      </c>
      <c r="H542" s="252">
        <v>120</v>
      </c>
      <c r="I542" s="188">
        <v>705</v>
      </c>
      <c r="J542" s="188">
        <f t="shared" si="11"/>
        <v>84600</v>
      </c>
      <c r="K542" s="232">
        <v>43913</v>
      </c>
      <c r="L542" s="192"/>
      <c r="M542" s="317"/>
      <c r="N542" s="271" t="s">
        <v>1350</v>
      </c>
      <c r="O542" s="271">
        <v>43895</v>
      </c>
    </row>
    <row r="543" spans="1:15" s="250" customFormat="1" ht="13.5" customHeight="1" x14ac:dyDescent="0.3">
      <c r="A543" s="185" t="s">
        <v>1516</v>
      </c>
      <c r="B543" s="251" t="s">
        <v>1526</v>
      </c>
      <c r="C543" s="187" t="s">
        <v>331</v>
      </c>
      <c r="D543" s="225" t="s">
        <v>1555</v>
      </c>
      <c r="E543" s="190">
        <v>30</v>
      </c>
      <c r="F543" s="227" t="s">
        <v>20</v>
      </c>
      <c r="G543" s="233">
        <v>43905</v>
      </c>
      <c r="H543" s="252">
        <v>200</v>
      </c>
      <c r="I543" s="188">
        <v>235.21</v>
      </c>
      <c r="J543" s="188">
        <f t="shared" si="11"/>
        <v>47042</v>
      </c>
      <c r="K543" s="232">
        <v>43909</v>
      </c>
      <c r="L543" s="192"/>
      <c r="M543" s="317"/>
      <c r="N543" s="276" t="s">
        <v>1533</v>
      </c>
      <c r="O543" s="276"/>
    </row>
    <row r="544" spans="1:15" s="250" customFormat="1" ht="13.5" customHeight="1" x14ac:dyDescent="0.3">
      <c r="A544" s="185" t="s">
        <v>1517</v>
      </c>
      <c r="B544" s="251" t="s">
        <v>1526</v>
      </c>
      <c r="C544" s="187" t="s">
        <v>331</v>
      </c>
      <c r="D544" s="225" t="s">
        <v>1556</v>
      </c>
      <c r="E544" s="190">
        <v>30</v>
      </c>
      <c r="F544" s="227" t="s">
        <v>20</v>
      </c>
      <c r="G544" s="233">
        <v>43905</v>
      </c>
      <c r="H544" s="252">
        <v>350</v>
      </c>
      <c r="I544" s="188">
        <v>235.21</v>
      </c>
      <c r="J544" s="188">
        <f t="shared" si="11"/>
        <v>82323.5</v>
      </c>
      <c r="K544" s="232">
        <v>43909</v>
      </c>
      <c r="L544" s="192"/>
      <c r="M544" s="317"/>
      <c r="N544" s="276" t="s">
        <v>1533</v>
      </c>
      <c r="O544" s="276"/>
    </row>
    <row r="545" spans="1:15" s="250" customFormat="1" ht="13.5" customHeight="1" x14ac:dyDescent="0.3">
      <c r="A545" s="185" t="s">
        <v>1518</v>
      </c>
      <c r="B545" s="251" t="s">
        <v>1526</v>
      </c>
      <c r="C545" s="187" t="s">
        <v>331</v>
      </c>
      <c r="D545" s="225" t="s">
        <v>1557</v>
      </c>
      <c r="E545" s="190">
        <v>30</v>
      </c>
      <c r="F545" s="227" t="s">
        <v>20</v>
      </c>
      <c r="G545" s="233">
        <v>43912</v>
      </c>
      <c r="H545" s="252">
        <v>250</v>
      </c>
      <c r="I545" s="188">
        <v>235.21</v>
      </c>
      <c r="J545" s="188">
        <f t="shared" si="11"/>
        <v>58802.5</v>
      </c>
      <c r="K545" s="232">
        <v>43909</v>
      </c>
      <c r="L545" s="192"/>
      <c r="M545" s="317"/>
      <c r="N545" s="276" t="s">
        <v>1533</v>
      </c>
      <c r="O545" s="276"/>
    </row>
    <row r="546" spans="1:15" s="250" customFormat="1" ht="13.5" customHeight="1" x14ac:dyDescent="0.3">
      <c r="A546" s="185" t="s">
        <v>1519</v>
      </c>
      <c r="B546" s="251" t="s">
        <v>1526</v>
      </c>
      <c r="C546" s="187" t="s">
        <v>331</v>
      </c>
      <c r="D546" s="225" t="s">
        <v>1558</v>
      </c>
      <c r="E546" s="190">
        <v>30</v>
      </c>
      <c r="F546" s="227" t="s">
        <v>20</v>
      </c>
      <c r="G546" s="233">
        <v>43895</v>
      </c>
      <c r="H546" s="252">
        <v>300</v>
      </c>
      <c r="I546" s="188">
        <v>235.21</v>
      </c>
      <c r="J546" s="188">
        <f t="shared" si="11"/>
        <v>70563</v>
      </c>
      <c r="K546" s="232">
        <v>43909</v>
      </c>
      <c r="L546" s="192"/>
      <c r="M546" s="317"/>
      <c r="N546" s="276" t="s">
        <v>1533</v>
      </c>
      <c r="O546" s="276"/>
    </row>
    <row r="547" spans="1:15" s="250" customFormat="1" ht="13.5" customHeight="1" x14ac:dyDescent="0.3">
      <c r="A547" s="185" t="s">
        <v>1444</v>
      </c>
      <c r="B547" s="251" t="s">
        <v>1292</v>
      </c>
      <c r="C547" s="187" t="s">
        <v>1036</v>
      </c>
      <c r="D547" s="225" t="s">
        <v>1447</v>
      </c>
      <c r="E547" s="190">
        <v>150</v>
      </c>
      <c r="F547" s="227" t="s">
        <v>20</v>
      </c>
      <c r="G547" s="233">
        <v>43914</v>
      </c>
      <c r="H547" s="252">
        <v>192.5</v>
      </c>
      <c r="I547" s="188">
        <v>112</v>
      </c>
      <c r="J547" s="188">
        <v>21560</v>
      </c>
      <c r="K547" s="232">
        <v>43916</v>
      </c>
      <c r="L547" s="192"/>
      <c r="M547" s="317"/>
      <c r="N547" s="277" t="s">
        <v>1350</v>
      </c>
      <c r="O547" s="277">
        <v>43847</v>
      </c>
    </row>
    <row r="548" spans="1:15" s="250" customFormat="1" ht="13.5" customHeight="1" x14ac:dyDescent="0.25">
      <c r="A548" s="185" t="s">
        <v>514</v>
      </c>
      <c r="B548" s="251" t="s">
        <v>1292</v>
      </c>
      <c r="C548" s="187" t="s">
        <v>1036</v>
      </c>
      <c r="D548" s="225" t="s">
        <v>1452</v>
      </c>
      <c r="E548" s="190"/>
      <c r="F548" s="227"/>
      <c r="G548" s="233">
        <v>43912</v>
      </c>
      <c r="H548" s="252"/>
      <c r="I548" s="188"/>
      <c r="J548" s="188">
        <v>-2268</v>
      </c>
      <c r="K548" s="232">
        <v>43929</v>
      </c>
      <c r="L548" s="192"/>
      <c r="M548" s="317"/>
      <c r="N548" s="277"/>
      <c r="O548" s="277"/>
    </row>
    <row r="549" spans="1:15" s="250" customFormat="1" ht="13.5" customHeight="1" x14ac:dyDescent="0.3">
      <c r="A549" s="185" t="s">
        <v>1564</v>
      </c>
      <c r="B549" s="251" t="s">
        <v>1349</v>
      </c>
      <c r="C549" s="187" t="s">
        <v>27</v>
      </c>
      <c r="D549" s="225"/>
      <c r="E549" s="190">
        <v>150</v>
      </c>
      <c r="F549" s="227" t="s">
        <v>20</v>
      </c>
      <c r="G549" s="233">
        <v>44046</v>
      </c>
      <c r="H549" s="252">
        <v>4000</v>
      </c>
      <c r="I549" s="188">
        <v>272</v>
      </c>
      <c r="J549" s="188">
        <f>+I549*H549</f>
        <v>1088000</v>
      </c>
      <c r="K549" s="232">
        <v>43922</v>
      </c>
      <c r="L549" s="192" t="s">
        <v>1658</v>
      </c>
      <c r="M549" s="317"/>
      <c r="N549" s="278"/>
      <c r="O549" s="278"/>
    </row>
    <row r="550" spans="1:15" s="250" customFormat="1" ht="13.5" customHeight="1" x14ac:dyDescent="0.3">
      <c r="A550" s="185" t="s">
        <v>1320</v>
      </c>
      <c r="B550" s="251" t="s">
        <v>1292</v>
      </c>
      <c r="C550" s="187" t="s">
        <v>280</v>
      </c>
      <c r="D550" s="225" t="s">
        <v>1417</v>
      </c>
      <c r="E550" s="190">
        <v>90</v>
      </c>
      <c r="F550" s="227" t="s">
        <v>20</v>
      </c>
      <c r="G550" s="233">
        <v>43924</v>
      </c>
      <c r="H550" s="252">
        <v>314.60000000000002</v>
      </c>
      <c r="I550" s="188">
        <v>123</v>
      </c>
      <c r="J550" s="188">
        <f>+I550*H550</f>
        <v>38695.800000000003</v>
      </c>
      <c r="K550" s="232">
        <v>43923</v>
      </c>
      <c r="L550" s="192"/>
      <c r="M550" s="317"/>
      <c r="N550" s="279"/>
      <c r="O550" s="279"/>
    </row>
    <row r="551" spans="1:15" s="250" customFormat="1" ht="13.5" customHeight="1" x14ac:dyDescent="0.25">
      <c r="A551" s="185" t="s">
        <v>514</v>
      </c>
      <c r="B551" s="251" t="s">
        <v>1292</v>
      </c>
      <c r="C551" s="187" t="s">
        <v>280</v>
      </c>
      <c r="D551" s="225"/>
      <c r="E551" s="190"/>
      <c r="F551" s="227"/>
      <c r="G551" s="233">
        <v>43924</v>
      </c>
      <c r="H551" s="252"/>
      <c r="I551" s="188"/>
      <c r="J551" s="188">
        <v>-970.44</v>
      </c>
      <c r="K551" s="232">
        <v>43923</v>
      </c>
      <c r="L551" s="192"/>
      <c r="M551" s="317"/>
      <c r="N551" s="279"/>
      <c r="O551" s="279"/>
    </row>
    <row r="552" spans="1:15" s="250" customFormat="1" ht="13.5" customHeight="1" x14ac:dyDescent="0.3">
      <c r="A552" s="185" t="s">
        <v>1470</v>
      </c>
      <c r="B552" s="251" t="s">
        <v>530</v>
      </c>
      <c r="C552" s="187" t="s">
        <v>280</v>
      </c>
      <c r="D552" s="225" t="s">
        <v>1420</v>
      </c>
      <c r="E552" s="190">
        <v>90</v>
      </c>
      <c r="F552" s="227" t="s">
        <v>20</v>
      </c>
      <c r="G552" s="233">
        <v>43923</v>
      </c>
      <c r="H552" s="252">
        <v>171.60000000000002</v>
      </c>
      <c r="I552" s="188">
        <v>118</v>
      </c>
      <c r="J552" s="188">
        <f>+I552*H552</f>
        <v>20248.800000000003</v>
      </c>
      <c r="K552" s="232">
        <v>43923</v>
      </c>
      <c r="L552" s="192"/>
      <c r="M552" s="317"/>
      <c r="N552" s="279"/>
      <c r="O552" s="279"/>
    </row>
    <row r="553" spans="1:15" s="250" customFormat="1" ht="13.5" customHeight="1" x14ac:dyDescent="0.3">
      <c r="A553" s="185" t="s">
        <v>1561</v>
      </c>
      <c r="B553" s="251" t="s">
        <v>1526</v>
      </c>
      <c r="C553" s="187" t="s">
        <v>331</v>
      </c>
      <c r="D553" s="225" t="s">
        <v>1608</v>
      </c>
      <c r="E553" s="190">
        <v>30</v>
      </c>
      <c r="F553" s="227" t="s">
        <v>20</v>
      </c>
      <c r="G553" s="233">
        <v>43922</v>
      </c>
      <c r="H553" s="252">
        <v>525</v>
      </c>
      <c r="I553" s="188">
        <v>246.35</v>
      </c>
      <c r="J553" s="188">
        <v>129333.75</v>
      </c>
      <c r="K553" s="232">
        <v>43923</v>
      </c>
      <c r="L553" s="192"/>
      <c r="M553" s="317"/>
      <c r="N553" s="280"/>
      <c r="O553" s="280"/>
    </row>
    <row r="554" spans="1:15" s="250" customFormat="1" ht="13.5" customHeight="1" x14ac:dyDescent="0.3">
      <c r="A554" s="185" t="s">
        <v>1563</v>
      </c>
      <c r="B554" s="251" t="s">
        <v>1526</v>
      </c>
      <c r="C554" s="187" t="s">
        <v>331</v>
      </c>
      <c r="D554" s="225" t="s">
        <v>1610</v>
      </c>
      <c r="E554" s="190">
        <v>30</v>
      </c>
      <c r="F554" s="227" t="s">
        <v>20</v>
      </c>
      <c r="G554" s="233">
        <v>43926</v>
      </c>
      <c r="H554" s="252">
        <v>450</v>
      </c>
      <c r="I554" s="188">
        <v>246.35</v>
      </c>
      <c r="J554" s="188">
        <v>110857.5</v>
      </c>
      <c r="K554" s="232">
        <v>43923</v>
      </c>
      <c r="L554" s="192"/>
      <c r="M554" s="317"/>
      <c r="N554" s="280"/>
      <c r="O554" s="280"/>
    </row>
    <row r="555" spans="1:15" s="250" customFormat="1" ht="13.5" customHeight="1" x14ac:dyDescent="0.3">
      <c r="A555" s="185" t="s">
        <v>1512</v>
      </c>
      <c r="B555" s="251" t="s">
        <v>1349</v>
      </c>
      <c r="C555" s="187" t="s">
        <v>928</v>
      </c>
      <c r="D555" s="225" t="s">
        <v>552</v>
      </c>
      <c r="E555" s="190">
        <v>150</v>
      </c>
      <c r="F555" s="227" t="s">
        <v>20</v>
      </c>
      <c r="G555" s="233">
        <f>+K555+E555</f>
        <v>44074</v>
      </c>
      <c r="H555" s="252">
        <v>5400</v>
      </c>
      <c r="I555" s="188">
        <v>260</v>
      </c>
      <c r="J555" s="188">
        <v>1404000</v>
      </c>
      <c r="K555" s="232">
        <v>43924</v>
      </c>
      <c r="L555" s="192" t="s">
        <v>1658</v>
      </c>
      <c r="M555" s="317"/>
      <c r="N555" s="281"/>
      <c r="O555" s="281"/>
    </row>
    <row r="556" spans="1:15" s="250" customFormat="1" ht="13.5" customHeight="1" x14ac:dyDescent="0.3">
      <c r="A556" s="185" t="s">
        <v>1611</v>
      </c>
      <c r="B556" s="251" t="s">
        <v>1595</v>
      </c>
      <c r="C556" s="187" t="s">
        <v>27</v>
      </c>
      <c r="D556" s="225" t="s">
        <v>552</v>
      </c>
      <c r="E556" s="190">
        <v>150</v>
      </c>
      <c r="F556" s="227" t="s">
        <v>20</v>
      </c>
      <c r="G556" s="233">
        <f>+K556+E556</f>
        <v>44074</v>
      </c>
      <c r="H556" s="252">
        <v>6900</v>
      </c>
      <c r="I556" s="188">
        <v>125</v>
      </c>
      <c r="J556" s="188">
        <v>862500</v>
      </c>
      <c r="K556" s="232">
        <v>43924</v>
      </c>
      <c r="L556" s="192" t="s">
        <v>1658</v>
      </c>
      <c r="M556" s="317"/>
      <c r="N556" s="281"/>
      <c r="O556" s="281"/>
    </row>
    <row r="557" spans="1:15" s="250" customFormat="1" ht="13.5" customHeight="1" x14ac:dyDescent="0.3">
      <c r="A557" s="185" t="s">
        <v>1612</v>
      </c>
      <c r="B557" s="251" t="s">
        <v>1387</v>
      </c>
      <c r="C557" s="187" t="s">
        <v>27</v>
      </c>
      <c r="D557" s="225" t="s">
        <v>552</v>
      </c>
      <c r="E557" s="190">
        <v>150</v>
      </c>
      <c r="F557" s="227" t="s">
        <v>20</v>
      </c>
      <c r="G557" s="233">
        <f>+K557+E557</f>
        <v>44074</v>
      </c>
      <c r="H557" s="252">
        <v>7000</v>
      </c>
      <c r="I557" s="188">
        <v>324</v>
      </c>
      <c r="J557" s="188">
        <v>2268000</v>
      </c>
      <c r="K557" s="232">
        <v>43924</v>
      </c>
      <c r="L557" s="192" t="s">
        <v>1658</v>
      </c>
      <c r="M557" s="317"/>
      <c r="N557" s="281"/>
      <c r="O557" s="281"/>
    </row>
    <row r="558" spans="1:15" s="250" customFormat="1" ht="13.5" customHeight="1" x14ac:dyDescent="0.3">
      <c r="A558" s="185" t="s">
        <v>514</v>
      </c>
      <c r="B558" s="251" t="s">
        <v>1595</v>
      </c>
      <c r="C558" s="187" t="s">
        <v>27</v>
      </c>
      <c r="D558" s="225" t="s">
        <v>552</v>
      </c>
      <c r="E558" s="190"/>
      <c r="F558" s="227"/>
      <c r="G558" s="233">
        <v>44074</v>
      </c>
      <c r="H558" s="252">
        <v>5440</v>
      </c>
      <c r="I558" s="188">
        <v>-5</v>
      </c>
      <c r="J558" s="188">
        <v>-27200</v>
      </c>
      <c r="K558" s="232">
        <v>43924</v>
      </c>
      <c r="L558" s="192" t="s">
        <v>1658</v>
      </c>
      <c r="M558" s="317"/>
      <c r="N558" s="281"/>
      <c r="O558" s="281"/>
    </row>
    <row r="559" spans="1:15" s="250" customFormat="1" ht="13.5" customHeight="1" x14ac:dyDescent="0.3">
      <c r="A559" s="185" t="s">
        <v>514</v>
      </c>
      <c r="B559" s="251" t="s">
        <v>1387</v>
      </c>
      <c r="C559" s="187" t="s">
        <v>27</v>
      </c>
      <c r="D559" s="225" t="s">
        <v>552</v>
      </c>
      <c r="E559" s="190"/>
      <c r="F559" s="227"/>
      <c r="G559" s="233">
        <v>44074</v>
      </c>
      <c r="H559" s="252">
        <v>1000</v>
      </c>
      <c r="I559" s="188">
        <v>-7</v>
      </c>
      <c r="J559" s="188">
        <v>-7000</v>
      </c>
      <c r="K559" s="232">
        <v>43924</v>
      </c>
      <c r="L559" s="192" t="s">
        <v>1658</v>
      </c>
      <c r="M559" s="317"/>
      <c r="N559" s="281"/>
      <c r="O559" s="281"/>
    </row>
    <row r="560" spans="1:15" s="250" customFormat="1" ht="13.5" customHeight="1" x14ac:dyDescent="0.25">
      <c r="A560" s="185" t="s">
        <v>1574</v>
      </c>
      <c r="B560" s="251" t="s">
        <v>1599</v>
      </c>
      <c r="C560" s="187" t="s">
        <v>512</v>
      </c>
      <c r="D560" s="225" t="s">
        <v>552</v>
      </c>
      <c r="E560" s="190" t="s">
        <v>5</v>
      </c>
      <c r="F560" s="227" t="s">
        <v>1614</v>
      </c>
      <c r="G560" s="233">
        <v>43927</v>
      </c>
      <c r="H560" s="252">
        <v>3000</v>
      </c>
      <c r="I560" s="188">
        <f>250</f>
        <v>250</v>
      </c>
      <c r="J560" s="188">
        <f>+I560*H560*0.5</f>
        <v>375000</v>
      </c>
      <c r="K560" s="232">
        <v>43927</v>
      </c>
      <c r="L560" s="192" t="s">
        <v>1615</v>
      </c>
      <c r="M560" s="317"/>
      <c r="N560" s="282"/>
      <c r="O560" s="282"/>
    </row>
    <row r="561" spans="1:15" s="250" customFormat="1" ht="13.5" customHeight="1" x14ac:dyDescent="0.3">
      <c r="A561" s="185" t="s">
        <v>1562</v>
      </c>
      <c r="B561" s="251" t="s">
        <v>1526</v>
      </c>
      <c r="C561" s="187" t="s">
        <v>331</v>
      </c>
      <c r="D561" s="225" t="s">
        <v>1609</v>
      </c>
      <c r="E561" s="190">
        <v>30</v>
      </c>
      <c r="F561" s="227" t="s">
        <v>20</v>
      </c>
      <c r="G561" s="233">
        <v>43930</v>
      </c>
      <c r="H561" s="252">
        <v>325</v>
      </c>
      <c r="I561" s="188">
        <v>246.35</v>
      </c>
      <c r="J561" s="188">
        <f t="shared" ref="J561:J566" si="12">+I561*H561</f>
        <v>80063.75</v>
      </c>
      <c r="K561" s="232">
        <v>43929</v>
      </c>
      <c r="L561" s="192"/>
      <c r="M561" s="317"/>
      <c r="N561" s="283"/>
      <c r="O561" s="283"/>
    </row>
    <row r="562" spans="1:15" s="250" customFormat="1" ht="13.5" customHeight="1" x14ac:dyDescent="0.3">
      <c r="A562" s="185" t="s">
        <v>1445</v>
      </c>
      <c r="B562" s="251" t="s">
        <v>1292</v>
      </c>
      <c r="C562" s="187" t="s">
        <v>1036</v>
      </c>
      <c r="D562" s="225" t="s">
        <v>1451</v>
      </c>
      <c r="E562" s="190">
        <v>150</v>
      </c>
      <c r="F562" s="227" t="s">
        <v>20</v>
      </c>
      <c r="G562" s="233">
        <v>43929</v>
      </c>
      <c r="H562" s="252">
        <v>189</v>
      </c>
      <c r="I562" s="188">
        <v>112</v>
      </c>
      <c r="J562" s="188">
        <f t="shared" si="12"/>
        <v>21168</v>
      </c>
      <c r="K562" s="232">
        <v>43929</v>
      </c>
      <c r="L562" s="192"/>
      <c r="M562" s="317"/>
      <c r="N562" s="283"/>
      <c r="O562" s="283"/>
    </row>
    <row r="563" spans="1:15" s="250" customFormat="1" ht="13.5" customHeight="1" x14ac:dyDescent="0.3">
      <c r="A563" s="185" t="s">
        <v>1446</v>
      </c>
      <c r="B563" s="251" t="s">
        <v>1292</v>
      </c>
      <c r="C563" s="187" t="s">
        <v>1036</v>
      </c>
      <c r="D563" s="225" t="s">
        <v>1503</v>
      </c>
      <c r="E563" s="190">
        <v>150</v>
      </c>
      <c r="F563" s="227" t="s">
        <v>20</v>
      </c>
      <c r="G563" s="233">
        <v>43929</v>
      </c>
      <c r="H563" s="252">
        <v>918.75</v>
      </c>
      <c r="I563" s="188">
        <v>112</v>
      </c>
      <c r="J563" s="188">
        <f t="shared" si="12"/>
        <v>102900</v>
      </c>
      <c r="K563" s="232">
        <v>43929</v>
      </c>
      <c r="L563" s="192"/>
      <c r="M563" s="317"/>
      <c r="N563" s="283"/>
      <c r="O563" s="283"/>
    </row>
    <row r="564" spans="1:15" s="250" customFormat="1" ht="13.5" customHeight="1" x14ac:dyDescent="0.3">
      <c r="A564" s="185" t="s">
        <v>1441</v>
      </c>
      <c r="B564" s="251" t="s">
        <v>1439</v>
      </c>
      <c r="C564" s="187" t="s">
        <v>426</v>
      </c>
      <c r="D564" s="225" t="s">
        <v>552</v>
      </c>
      <c r="E564" s="190">
        <v>120</v>
      </c>
      <c r="F564" s="227" t="s">
        <v>20</v>
      </c>
      <c r="G564" s="233">
        <v>43927</v>
      </c>
      <c r="H564" s="252">
        <v>6800</v>
      </c>
      <c r="I564" s="188">
        <v>151.04</v>
      </c>
      <c r="J564" s="188">
        <f t="shared" si="12"/>
        <v>1027072</v>
      </c>
      <c r="K564" s="232">
        <v>43927</v>
      </c>
      <c r="L564" s="192" t="s">
        <v>1616</v>
      </c>
      <c r="M564" s="317"/>
      <c r="N564" s="284"/>
      <c r="O564" s="284"/>
    </row>
    <row r="565" spans="1:15" s="250" customFormat="1" ht="13.5" customHeight="1" x14ac:dyDescent="0.3">
      <c r="A565" s="185" t="s">
        <v>1479</v>
      </c>
      <c r="B565" s="251" t="s">
        <v>1484</v>
      </c>
      <c r="C565" s="187" t="s">
        <v>44</v>
      </c>
      <c r="D565" s="225" t="s">
        <v>1501</v>
      </c>
      <c r="E565" s="190">
        <v>90</v>
      </c>
      <c r="F565" s="227" t="s">
        <v>20</v>
      </c>
      <c r="G565" s="233">
        <v>43948</v>
      </c>
      <c r="H565" s="252">
        <v>18.14</v>
      </c>
      <c r="I565" s="188">
        <v>1130.0999999999999</v>
      </c>
      <c r="J565" s="188">
        <f t="shared" si="12"/>
        <v>20500.013999999999</v>
      </c>
      <c r="K565" s="232">
        <v>43949</v>
      </c>
      <c r="L565" s="192"/>
      <c r="M565" s="317"/>
      <c r="N565" s="285"/>
      <c r="O565" s="285"/>
    </row>
    <row r="566" spans="1:15" s="250" customFormat="1" ht="13.5" customHeight="1" x14ac:dyDescent="0.3">
      <c r="A566" s="185" t="s">
        <v>1560</v>
      </c>
      <c r="B566" s="251" t="s">
        <v>1596</v>
      </c>
      <c r="C566" s="187" t="s">
        <v>664</v>
      </c>
      <c r="D566" s="225" t="s">
        <v>1654</v>
      </c>
      <c r="E566" s="190">
        <v>30</v>
      </c>
      <c r="F566" s="227" t="s">
        <v>20</v>
      </c>
      <c r="G566" s="233">
        <v>43949</v>
      </c>
      <c r="H566" s="252">
        <v>52</v>
      </c>
      <c r="I566" s="188">
        <v>280</v>
      </c>
      <c r="J566" s="188">
        <f t="shared" si="12"/>
        <v>14560</v>
      </c>
      <c r="K566" s="232">
        <v>43950</v>
      </c>
      <c r="L566" s="192"/>
      <c r="M566" s="317"/>
      <c r="N566" s="286"/>
      <c r="O566" s="286"/>
    </row>
    <row r="567" spans="1:15" s="250" customFormat="1" ht="13.5" customHeight="1" x14ac:dyDescent="0.3">
      <c r="A567" s="185" t="s">
        <v>1488</v>
      </c>
      <c r="B567" s="251" t="s">
        <v>1325</v>
      </c>
      <c r="C567" s="187" t="s">
        <v>928</v>
      </c>
      <c r="D567" s="225" t="s">
        <v>1550</v>
      </c>
      <c r="E567" s="190">
        <v>90</v>
      </c>
      <c r="F567" s="227" t="s">
        <v>20</v>
      </c>
      <c r="G567" s="233">
        <v>43958</v>
      </c>
      <c r="H567" s="252">
        <v>144</v>
      </c>
      <c r="I567" s="188">
        <v>914</v>
      </c>
      <c r="J567" s="188">
        <v>131616</v>
      </c>
      <c r="K567" s="232">
        <v>43958</v>
      </c>
      <c r="L567" s="192"/>
      <c r="M567" s="317"/>
      <c r="N567" s="287"/>
      <c r="O567" s="287"/>
    </row>
    <row r="568" spans="1:15" s="250" customFormat="1" ht="13.5" customHeight="1" x14ac:dyDescent="0.3">
      <c r="A568" s="185" t="s">
        <v>1574</v>
      </c>
      <c r="B568" s="251" t="s">
        <v>1599</v>
      </c>
      <c r="C568" s="187" t="s">
        <v>512</v>
      </c>
      <c r="D568" s="225" t="s">
        <v>552</v>
      </c>
      <c r="E568" s="190">
        <v>5</v>
      </c>
      <c r="F568" s="227" t="s">
        <v>20</v>
      </c>
      <c r="G568" s="233">
        <v>43958</v>
      </c>
      <c r="H568" s="252">
        <v>3300</v>
      </c>
      <c r="I568" s="188">
        <v>250</v>
      </c>
      <c r="J568" s="188">
        <v>450000</v>
      </c>
      <c r="K568" s="232">
        <v>43958</v>
      </c>
      <c r="L568" s="192" t="s">
        <v>1659</v>
      </c>
      <c r="M568" s="317"/>
      <c r="N568" s="287"/>
      <c r="O568" s="287"/>
    </row>
    <row r="569" spans="1:15" s="250" customFormat="1" ht="13.5" customHeight="1" x14ac:dyDescent="0.3">
      <c r="A569" s="185" t="s">
        <v>1576</v>
      </c>
      <c r="B569" s="251" t="s">
        <v>1601</v>
      </c>
      <c r="C569" s="187" t="s">
        <v>42</v>
      </c>
      <c r="D569" s="225" t="s">
        <v>1660</v>
      </c>
      <c r="E569" s="190">
        <v>3</v>
      </c>
      <c r="F569" s="227" t="s">
        <v>20</v>
      </c>
      <c r="G569" s="233">
        <v>43958</v>
      </c>
      <c r="H569" s="252">
        <v>250</v>
      </c>
      <c r="I569" s="188">
        <v>215</v>
      </c>
      <c r="J569" s="188">
        <v>53750</v>
      </c>
      <c r="K569" s="232">
        <v>43958</v>
      </c>
      <c r="L569" s="192"/>
      <c r="M569" s="317"/>
      <c r="N569" s="287"/>
      <c r="O569" s="287"/>
    </row>
    <row r="570" spans="1:15" s="250" customFormat="1" ht="13.5" customHeight="1" x14ac:dyDescent="0.25">
      <c r="A570" s="185" t="s">
        <v>1619</v>
      </c>
      <c r="B570" s="251" t="s">
        <v>1384</v>
      </c>
      <c r="C570" s="187" t="s">
        <v>1385</v>
      </c>
      <c r="D570" s="225"/>
      <c r="E570" s="190" t="s">
        <v>158</v>
      </c>
      <c r="F570" s="227"/>
      <c r="G570" s="233">
        <v>43966</v>
      </c>
      <c r="H570" s="252">
        <v>2</v>
      </c>
      <c r="I570" s="188">
        <v>3566.5</v>
      </c>
      <c r="J570" s="188">
        <f t="shared" ref="J570:J581" si="13">+I570*H570</f>
        <v>7133</v>
      </c>
      <c r="K570" s="232">
        <v>43964</v>
      </c>
      <c r="L570" s="192"/>
      <c r="M570" s="317"/>
      <c r="N570" s="288"/>
      <c r="O570" s="288"/>
    </row>
    <row r="571" spans="1:15" s="250" customFormat="1" ht="13.5" customHeight="1" x14ac:dyDescent="0.3">
      <c r="A571" s="185" t="s">
        <v>1577</v>
      </c>
      <c r="B571" s="251" t="s">
        <v>1601</v>
      </c>
      <c r="C571" s="187" t="s">
        <v>42</v>
      </c>
      <c r="D571" s="225" t="s">
        <v>1695</v>
      </c>
      <c r="E571" s="190">
        <v>3</v>
      </c>
      <c r="F571" s="227" t="s">
        <v>20</v>
      </c>
      <c r="G571" s="233">
        <v>43966</v>
      </c>
      <c r="H571" s="252">
        <v>251.68</v>
      </c>
      <c r="I571" s="188">
        <v>215</v>
      </c>
      <c r="J571" s="188">
        <f t="shared" si="13"/>
        <v>54111.200000000004</v>
      </c>
      <c r="K571" s="232">
        <v>43961</v>
      </c>
      <c r="L571" s="192"/>
      <c r="M571" s="317"/>
      <c r="N571" s="290"/>
      <c r="O571" s="290"/>
    </row>
    <row r="572" spans="1:15" s="250" customFormat="1" ht="13.5" customHeight="1" x14ac:dyDescent="0.3">
      <c r="A572" s="185" t="s">
        <v>1567</v>
      </c>
      <c r="B572" s="251" t="s">
        <v>1596</v>
      </c>
      <c r="C572" s="187" t="s">
        <v>664</v>
      </c>
      <c r="D572" s="225" t="s">
        <v>1655</v>
      </c>
      <c r="E572" s="190">
        <v>30</v>
      </c>
      <c r="F572" s="227" t="s">
        <v>20</v>
      </c>
      <c r="G572" s="233">
        <v>43970</v>
      </c>
      <c r="H572" s="252">
        <v>52</v>
      </c>
      <c r="I572" s="188">
        <v>280</v>
      </c>
      <c r="J572" s="188">
        <f t="shared" si="13"/>
        <v>14560</v>
      </c>
      <c r="K572" s="232">
        <v>43970</v>
      </c>
      <c r="L572" s="192"/>
      <c r="M572" s="317"/>
      <c r="N572" s="290"/>
      <c r="O572" s="290"/>
    </row>
    <row r="573" spans="1:15" s="250" customFormat="1" ht="13.5" customHeight="1" x14ac:dyDescent="0.3">
      <c r="A573" s="185" t="s">
        <v>1546</v>
      </c>
      <c r="B573" s="251" t="s">
        <v>1325</v>
      </c>
      <c r="C573" s="187" t="s">
        <v>928</v>
      </c>
      <c r="D573" s="225" t="s">
        <v>1548</v>
      </c>
      <c r="E573" s="190">
        <v>90</v>
      </c>
      <c r="F573" s="227" t="s">
        <v>20</v>
      </c>
      <c r="G573" s="233">
        <v>43971</v>
      </c>
      <c r="H573" s="252">
        <v>576</v>
      </c>
      <c r="I573" s="188">
        <v>890</v>
      </c>
      <c r="J573" s="188">
        <f t="shared" si="13"/>
        <v>512640</v>
      </c>
      <c r="K573" s="232">
        <v>43971</v>
      </c>
      <c r="L573" s="192"/>
      <c r="M573" s="317"/>
      <c r="N573" s="290"/>
      <c r="O573" s="290"/>
    </row>
    <row r="574" spans="1:15" s="250" customFormat="1" ht="13.5" customHeight="1" x14ac:dyDescent="0.3">
      <c r="A574" s="185" t="s">
        <v>1547</v>
      </c>
      <c r="B574" s="251" t="s">
        <v>1325</v>
      </c>
      <c r="C574" s="187" t="s">
        <v>928</v>
      </c>
      <c r="D574" s="225" t="s">
        <v>1548</v>
      </c>
      <c r="E574" s="190">
        <v>90</v>
      </c>
      <c r="F574" s="227" t="s">
        <v>20</v>
      </c>
      <c r="G574" s="233">
        <v>43971</v>
      </c>
      <c r="H574" s="252">
        <v>24</v>
      </c>
      <c r="I574" s="188">
        <v>890</v>
      </c>
      <c r="J574" s="188">
        <f t="shared" si="13"/>
        <v>21360</v>
      </c>
      <c r="K574" s="232">
        <v>43971</v>
      </c>
      <c r="L574" s="192"/>
      <c r="M574" s="317"/>
      <c r="N574" s="290"/>
      <c r="O574" s="290"/>
    </row>
    <row r="575" spans="1:15" s="250" customFormat="1" ht="13.5" customHeight="1" x14ac:dyDescent="0.3">
      <c r="A575" s="185" t="s">
        <v>1628</v>
      </c>
      <c r="B575" s="251" t="s">
        <v>841</v>
      </c>
      <c r="C575" s="187" t="s">
        <v>7</v>
      </c>
      <c r="D575" s="225" t="s">
        <v>1722</v>
      </c>
      <c r="E575" s="190" t="s">
        <v>5</v>
      </c>
      <c r="F575" s="227"/>
      <c r="G575" s="233">
        <v>43976</v>
      </c>
      <c r="H575" s="252">
        <v>275</v>
      </c>
      <c r="I575" s="188">
        <v>311</v>
      </c>
      <c r="J575" s="188">
        <f t="shared" si="13"/>
        <v>85525</v>
      </c>
      <c r="K575" s="232">
        <v>43979</v>
      </c>
      <c r="L575" s="192"/>
      <c r="M575" s="317"/>
      <c r="N575" s="291"/>
      <c r="O575" s="291"/>
    </row>
    <row r="576" spans="1:15" s="250" customFormat="1" ht="13.5" customHeight="1" x14ac:dyDescent="0.3">
      <c r="A576" s="185" t="s">
        <v>1629</v>
      </c>
      <c r="B576" s="251" t="s">
        <v>841</v>
      </c>
      <c r="C576" s="187" t="s">
        <v>7</v>
      </c>
      <c r="D576" s="225" t="s">
        <v>1722</v>
      </c>
      <c r="E576" s="190" t="s">
        <v>5</v>
      </c>
      <c r="F576" s="227"/>
      <c r="G576" s="233">
        <v>43976</v>
      </c>
      <c r="H576" s="252">
        <v>272.5</v>
      </c>
      <c r="I576" s="188">
        <v>310</v>
      </c>
      <c r="J576" s="188">
        <f t="shared" si="13"/>
        <v>84475</v>
      </c>
      <c r="K576" s="232">
        <v>43979</v>
      </c>
      <c r="L576" s="192"/>
      <c r="M576" s="317"/>
      <c r="N576" s="291"/>
      <c r="O576" s="291"/>
    </row>
    <row r="577" spans="1:15" s="250" customFormat="1" ht="13.5" customHeight="1" x14ac:dyDescent="0.3">
      <c r="A577" s="185" t="s">
        <v>1630</v>
      </c>
      <c r="B577" s="251" t="s">
        <v>841</v>
      </c>
      <c r="C577" s="187" t="s">
        <v>7</v>
      </c>
      <c r="D577" s="225" t="s">
        <v>1722</v>
      </c>
      <c r="E577" s="190" t="s">
        <v>5</v>
      </c>
      <c r="F577" s="227"/>
      <c r="G577" s="233">
        <v>43976</v>
      </c>
      <c r="H577" s="252">
        <v>100</v>
      </c>
      <c r="I577" s="188">
        <v>341.5</v>
      </c>
      <c r="J577" s="188">
        <f t="shared" si="13"/>
        <v>34150</v>
      </c>
      <c r="K577" s="232">
        <v>43979</v>
      </c>
      <c r="L577" s="192"/>
      <c r="M577" s="317"/>
      <c r="N577" s="291"/>
      <c r="O577" s="291"/>
    </row>
    <row r="578" spans="1:15" s="250" customFormat="1" ht="13.5" customHeight="1" x14ac:dyDescent="0.3">
      <c r="A578" s="185" t="s">
        <v>1489</v>
      </c>
      <c r="B578" s="251" t="s">
        <v>653</v>
      </c>
      <c r="C578" s="187" t="s">
        <v>1496</v>
      </c>
      <c r="D578" s="225" t="s">
        <v>1551</v>
      </c>
      <c r="E578" s="190">
        <v>90</v>
      </c>
      <c r="F578" s="227" t="s">
        <v>20</v>
      </c>
      <c r="G578" s="233">
        <v>43979</v>
      </c>
      <c r="H578" s="252">
        <v>408</v>
      </c>
      <c r="I578" s="188">
        <v>707</v>
      </c>
      <c r="J578" s="188">
        <f t="shared" si="13"/>
        <v>288456</v>
      </c>
      <c r="K578" s="232">
        <v>43979</v>
      </c>
      <c r="L578" s="192"/>
      <c r="M578" s="317"/>
      <c r="N578" s="291"/>
      <c r="O578" s="291"/>
    </row>
    <row r="579" spans="1:15" s="250" customFormat="1" ht="13.5" customHeight="1" x14ac:dyDescent="0.3">
      <c r="A579" s="185" t="s">
        <v>1490</v>
      </c>
      <c r="B579" s="251" t="s">
        <v>653</v>
      </c>
      <c r="C579" s="187" t="s">
        <v>1496</v>
      </c>
      <c r="D579" s="225" t="s">
        <v>1552</v>
      </c>
      <c r="E579" s="190">
        <v>90</v>
      </c>
      <c r="F579" s="227" t="s">
        <v>20</v>
      </c>
      <c r="G579" s="233">
        <v>43979</v>
      </c>
      <c r="H579" s="252">
        <v>264</v>
      </c>
      <c r="I579" s="188">
        <v>715</v>
      </c>
      <c r="J579" s="188">
        <f t="shared" si="13"/>
        <v>188760</v>
      </c>
      <c r="K579" s="232">
        <v>43979</v>
      </c>
      <c r="L579" s="192"/>
      <c r="M579" s="317"/>
      <c r="N579" s="291"/>
      <c r="O579" s="291"/>
    </row>
    <row r="580" spans="1:15" s="250" customFormat="1" ht="13.5" customHeight="1" x14ac:dyDescent="0.3">
      <c r="A580" s="185" t="s">
        <v>1052</v>
      </c>
      <c r="B580" s="251" t="s">
        <v>1193</v>
      </c>
      <c r="C580" s="187" t="s">
        <v>44</v>
      </c>
      <c r="D580" s="225" t="s">
        <v>1224</v>
      </c>
      <c r="E580" s="190">
        <v>90</v>
      </c>
      <c r="F580" s="227" t="s">
        <v>20</v>
      </c>
      <c r="G580" s="233">
        <v>43977</v>
      </c>
      <c r="H580" s="252">
        <v>16.329329999999999</v>
      </c>
      <c r="I580" s="188">
        <v>2359.6620314489332</v>
      </c>
      <c r="J580" s="188">
        <f t="shared" si="13"/>
        <v>38531.700000000004</v>
      </c>
      <c r="K580" s="232">
        <v>43979</v>
      </c>
      <c r="L580" s="192"/>
      <c r="M580" s="317"/>
      <c r="N580" s="291"/>
      <c r="O580" s="291"/>
    </row>
    <row r="581" spans="1:15" s="250" customFormat="1" ht="13.5" customHeight="1" x14ac:dyDescent="0.3">
      <c r="A581" s="185" t="s">
        <v>1053</v>
      </c>
      <c r="B581" s="251" t="s">
        <v>1194</v>
      </c>
      <c r="C581" s="187" t="s">
        <v>44</v>
      </c>
      <c r="D581" s="225" t="s">
        <v>1224</v>
      </c>
      <c r="E581" s="190">
        <v>90</v>
      </c>
      <c r="F581" s="227" t="s">
        <v>20</v>
      </c>
      <c r="G581" s="233">
        <v>43977</v>
      </c>
      <c r="H581" s="252">
        <v>1.81437</v>
      </c>
      <c r="I581" s="188">
        <v>2359.6620314489328</v>
      </c>
      <c r="J581" s="188">
        <f t="shared" si="13"/>
        <v>4281.3</v>
      </c>
      <c r="K581" s="232">
        <v>43979</v>
      </c>
      <c r="L581" s="192"/>
      <c r="M581" s="317"/>
      <c r="N581" s="291"/>
      <c r="O581" s="291"/>
    </row>
    <row r="582" spans="1:15" s="250" customFormat="1" ht="13.5" customHeight="1" x14ac:dyDescent="0.25">
      <c r="A582" s="185" t="s">
        <v>514</v>
      </c>
      <c r="B582" s="251" t="s">
        <v>1194</v>
      </c>
      <c r="C582" s="187" t="s">
        <v>44</v>
      </c>
      <c r="D582" s="225" t="s">
        <v>1397</v>
      </c>
      <c r="E582" s="190"/>
      <c r="F582" s="227"/>
      <c r="G582" s="233">
        <f>+G580</f>
        <v>43977</v>
      </c>
      <c r="H582" s="252"/>
      <c r="I582" s="188"/>
      <c r="J582" s="188">
        <v>-80</v>
      </c>
      <c r="K582" s="232">
        <v>43979</v>
      </c>
      <c r="L582" s="192"/>
      <c r="M582" s="317"/>
      <c r="N582" s="291"/>
      <c r="O582" s="291"/>
    </row>
    <row r="583" spans="1:15" s="250" customFormat="1" ht="13.5" customHeight="1" x14ac:dyDescent="0.25">
      <c r="A583" s="185" t="s">
        <v>514</v>
      </c>
      <c r="B583" s="251" t="s">
        <v>1193</v>
      </c>
      <c r="C583" s="187" t="s">
        <v>44</v>
      </c>
      <c r="D583" s="225" t="s">
        <v>1398</v>
      </c>
      <c r="E583" s="190"/>
      <c r="F583" s="227"/>
      <c r="G583" s="233">
        <f>+G580</f>
        <v>43977</v>
      </c>
      <c r="H583" s="252"/>
      <c r="I583" s="188"/>
      <c r="J583" s="188">
        <v>-1915.6</v>
      </c>
      <c r="K583" s="232">
        <v>43979</v>
      </c>
      <c r="L583" s="192"/>
      <c r="M583" s="317"/>
      <c r="N583" s="291"/>
      <c r="O583" s="291"/>
    </row>
    <row r="584" spans="1:15" s="250" customFormat="1" ht="13.5" customHeight="1" x14ac:dyDescent="0.3">
      <c r="A584" s="185" t="s">
        <v>1704</v>
      </c>
      <c r="B584" s="251" t="s">
        <v>1649</v>
      </c>
      <c r="C584" s="187" t="s">
        <v>331</v>
      </c>
      <c r="D584" s="225" t="s">
        <v>1707</v>
      </c>
      <c r="E584" s="190">
        <v>30</v>
      </c>
      <c r="F584" s="227" t="s">
        <v>20</v>
      </c>
      <c r="G584" s="233">
        <v>43981</v>
      </c>
      <c r="H584" s="252">
        <v>125</v>
      </c>
      <c r="I584" s="188">
        <v>247.67</v>
      </c>
      <c r="J584" s="188">
        <f t="shared" ref="J584:J601" si="14">+I584*H584</f>
        <v>30958.75</v>
      </c>
      <c r="K584" s="232">
        <v>43979</v>
      </c>
      <c r="L584" s="192"/>
      <c r="M584" s="317"/>
      <c r="N584" s="291"/>
      <c r="O584" s="291"/>
    </row>
    <row r="585" spans="1:15" s="250" customFormat="1" ht="13.5" customHeight="1" x14ac:dyDescent="0.3">
      <c r="A585" s="185" t="s">
        <v>1705</v>
      </c>
      <c r="B585" s="251" t="s">
        <v>1649</v>
      </c>
      <c r="C585" s="187" t="s">
        <v>331</v>
      </c>
      <c r="D585" s="225" t="s">
        <v>1707</v>
      </c>
      <c r="E585" s="190">
        <v>30</v>
      </c>
      <c r="F585" s="227" t="s">
        <v>20</v>
      </c>
      <c r="G585" s="233">
        <v>43981</v>
      </c>
      <c r="H585" s="252">
        <v>25</v>
      </c>
      <c r="I585" s="188">
        <v>247.67</v>
      </c>
      <c r="J585" s="188">
        <f t="shared" si="14"/>
        <v>6191.75</v>
      </c>
      <c r="K585" s="232">
        <v>43979</v>
      </c>
      <c r="L585" s="192"/>
      <c r="M585" s="317"/>
      <c r="N585" s="291"/>
      <c r="O585" s="291"/>
    </row>
    <row r="586" spans="1:15" s="250" customFormat="1" ht="13.5" customHeight="1" x14ac:dyDescent="0.3">
      <c r="A586" s="185" t="s">
        <v>1706</v>
      </c>
      <c r="B586" s="251" t="s">
        <v>1649</v>
      </c>
      <c r="C586" s="187" t="s">
        <v>331</v>
      </c>
      <c r="D586" s="225" t="s">
        <v>1707</v>
      </c>
      <c r="E586" s="190">
        <v>30</v>
      </c>
      <c r="F586" s="227" t="s">
        <v>20</v>
      </c>
      <c r="G586" s="233">
        <v>43981</v>
      </c>
      <c r="H586" s="252">
        <v>350</v>
      </c>
      <c r="I586" s="188">
        <v>247.67</v>
      </c>
      <c r="J586" s="188">
        <f t="shared" si="14"/>
        <v>86684.5</v>
      </c>
      <c r="K586" s="232">
        <v>43979</v>
      </c>
      <c r="L586" s="192"/>
      <c r="M586" s="317"/>
      <c r="N586" s="291"/>
      <c r="O586" s="291"/>
    </row>
    <row r="587" spans="1:15" s="250" customFormat="1" ht="13.5" customHeight="1" x14ac:dyDescent="0.3">
      <c r="A587" s="185" t="s">
        <v>1620</v>
      </c>
      <c r="B587" s="251" t="s">
        <v>1649</v>
      </c>
      <c r="C587" s="187" t="s">
        <v>331</v>
      </c>
      <c r="D587" s="225" t="s">
        <v>1708</v>
      </c>
      <c r="E587" s="190">
        <v>30</v>
      </c>
      <c r="F587" s="227" t="s">
        <v>20</v>
      </c>
      <c r="G587" s="233">
        <v>43978</v>
      </c>
      <c r="H587" s="252">
        <v>350</v>
      </c>
      <c r="I587" s="188">
        <v>247.67</v>
      </c>
      <c r="J587" s="188">
        <f t="shared" si="14"/>
        <v>86684.5</v>
      </c>
      <c r="K587" s="232">
        <v>43978</v>
      </c>
      <c r="L587" s="192"/>
      <c r="M587" s="317"/>
      <c r="N587" s="291"/>
      <c r="O587" s="291"/>
    </row>
    <row r="588" spans="1:15" s="250" customFormat="1" ht="13.5" customHeight="1" x14ac:dyDescent="0.3">
      <c r="A588" s="185" t="s">
        <v>1621</v>
      </c>
      <c r="B588" s="251" t="s">
        <v>1649</v>
      </c>
      <c r="C588" s="187" t="s">
        <v>331</v>
      </c>
      <c r="D588" s="225" t="s">
        <v>1709</v>
      </c>
      <c r="E588" s="190">
        <v>30</v>
      </c>
      <c r="F588" s="227" t="s">
        <v>20</v>
      </c>
      <c r="G588" s="233">
        <v>43978</v>
      </c>
      <c r="H588" s="252">
        <v>350</v>
      </c>
      <c r="I588" s="188">
        <v>247.67</v>
      </c>
      <c r="J588" s="188">
        <f t="shared" si="14"/>
        <v>86684.5</v>
      </c>
      <c r="K588" s="232">
        <v>43978</v>
      </c>
      <c r="L588" s="192"/>
      <c r="M588" s="317"/>
      <c r="N588" s="291"/>
      <c r="O588" s="291"/>
    </row>
    <row r="589" spans="1:15" s="250" customFormat="1" ht="13.5" customHeight="1" x14ac:dyDescent="0.3">
      <c r="A589" s="185" t="s">
        <v>1622</v>
      </c>
      <c r="B589" s="251" t="s">
        <v>1649</v>
      </c>
      <c r="C589" s="187" t="s">
        <v>331</v>
      </c>
      <c r="D589" s="225" t="s">
        <v>1710</v>
      </c>
      <c r="E589" s="190">
        <v>30</v>
      </c>
      <c r="F589" s="227" t="s">
        <v>20</v>
      </c>
      <c r="G589" s="233">
        <v>43973</v>
      </c>
      <c r="H589" s="252">
        <v>550</v>
      </c>
      <c r="I589" s="188">
        <v>247.67</v>
      </c>
      <c r="J589" s="188">
        <f t="shared" si="14"/>
        <v>136218.5</v>
      </c>
      <c r="K589" s="232">
        <v>43973</v>
      </c>
      <c r="L589" s="192"/>
      <c r="M589" s="317"/>
      <c r="N589" s="291"/>
      <c r="O589" s="291"/>
    </row>
    <row r="590" spans="1:15" s="250" customFormat="1" ht="13.5" customHeight="1" x14ac:dyDescent="0.3">
      <c r="A590" s="185" t="s">
        <v>1623</v>
      </c>
      <c r="B590" s="251" t="s">
        <v>1650</v>
      </c>
      <c r="C590" s="187" t="s">
        <v>331</v>
      </c>
      <c r="D590" s="225" t="s">
        <v>1711</v>
      </c>
      <c r="E590" s="190">
        <v>30</v>
      </c>
      <c r="F590" s="227" t="s">
        <v>20</v>
      </c>
      <c r="G590" s="233">
        <v>43980</v>
      </c>
      <c r="H590" s="252">
        <v>216</v>
      </c>
      <c r="I590" s="188">
        <v>247.67</v>
      </c>
      <c r="J590" s="188">
        <f t="shared" si="14"/>
        <v>53496.719999999994</v>
      </c>
      <c r="K590" s="232">
        <v>43979</v>
      </c>
      <c r="L590" s="192"/>
      <c r="M590" s="317"/>
      <c r="N590" s="291"/>
      <c r="O590" s="291"/>
    </row>
    <row r="591" spans="1:15" s="250" customFormat="1" ht="13.5" customHeight="1" x14ac:dyDescent="0.3">
      <c r="A591" s="185" t="s">
        <v>1624</v>
      </c>
      <c r="B591" s="251" t="s">
        <v>1649</v>
      </c>
      <c r="C591" s="187" t="s">
        <v>331</v>
      </c>
      <c r="D591" s="225" t="s">
        <v>1711</v>
      </c>
      <c r="E591" s="190">
        <v>30</v>
      </c>
      <c r="F591" s="227" t="s">
        <v>20</v>
      </c>
      <c r="G591" s="233">
        <v>43980</v>
      </c>
      <c r="H591" s="252">
        <v>250</v>
      </c>
      <c r="I591" s="188">
        <v>247.67</v>
      </c>
      <c r="J591" s="188">
        <f t="shared" si="14"/>
        <v>61917.5</v>
      </c>
      <c r="K591" s="232">
        <v>43979</v>
      </c>
      <c r="L591" s="192"/>
      <c r="M591" s="317"/>
      <c r="N591" s="291"/>
      <c r="O591" s="291"/>
    </row>
    <row r="592" spans="1:15" s="250" customFormat="1" ht="13.5" customHeight="1" x14ac:dyDescent="0.3">
      <c r="A592" s="185" t="s">
        <v>1476</v>
      </c>
      <c r="B592" s="251" t="s">
        <v>1481</v>
      </c>
      <c r="C592" s="187" t="s">
        <v>1091</v>
      </c>
      <c r="D592" s="225" t="s">
        <v>1500</v>
      </c>
      <c r="E592" s="190">
        <v>150</v>
      </c>
      <c r="F592" s="227" t="s">
        <v>45</v>
      </c>
      <c r="G592" s="233">
        <v>43984</v>
      </c>
      <c r="H592" s="252">
        <v>2.4</v>
      </c>
      <c r="I592" s="188">
        <v>4067.081377</v>
      </c>
      <c r="J592" s="188">
        <f t="shared" si="14"/>
        <v>9760.9953047999988</v>
      </c>
      <c r="K592" s="232">
        <v>43986</v>
      </c>
      <c r="L592" s="192"/>
      <c r="M592" s="317"/>
      <c r="N592" s="292"/>
      <c r="O592" s="292"/>
    </row>
    <row r="593" spans="1:15" s="250" customFormat="1" ht="13.5" customHeight="1" x14ac:dyDescent="0.3">
      <c r="A593" s="185" t="s">
        <v>1477</v>
      </c>
      <c r="B593" s="251" t="s">
        <v>1482</v>
      </c>
      <c r="C593" s="187" t="s">
        <v>1091</v>
      </c>
      <c r="D593" s="225" t="s">
        <v>1500</v>
      </c>
      <c r="E593" s="190">
        <v>150</v>
      </c>
      <c r="F593" s="227" t="s">
        <v>45</v>
      </c>
      <c r="G593" s="233">
        <v>43984</v>
      </c>
      <c r="H593" s="252">
        <v>1.92</v>
      </c>
      <c r="I593" s="188">
        <v>39639.581380000003</v>
      </c>
      <c r="J593" s="188">
        <f t="shared" si="14"/>
        <v>76107.996249600008</v>
      </c>
      <c r="K593" s="232">
        <v>43986</v>
      </c>
      <c r="L593" s="192"/>
      <c r="M593" s="317"/>
      <c r="N593" s="292"/>
      <c r="O593" s="292"/>
    </row>
    <row r="594" spans="1:15" s="250" customFormat="1" ht="13.5" customHeight="1" x14ac:dyDescent="0.3">
      <c r="A594" s="185" t="s">
        <v>1478</v>
      </c>
      <c r="B594" s="251" t="s">
        <v>1483</v>
      </c>
      <c r="C594" s="187" t="s">
        <v>1091</v>
      </c>
      <c r="D594" s="225" t="s">
        <v>1500</v>
      </c>
      <c r="E594" s="190">
        <v>150</v>
      </c>
      <c r="F594" s="227" t="s">
        <v>45</v>
      </c>
      <c r="G594" s="233">
        <v>43984</v>
      </c>
      <c r="H594" s="252">
        <v>0.79200000000000004</v>
      </c>
      <c r="I594" s="188">
        <v>41084.581380000003</v>
      </c>
      <c r="J594" s="188">
        <f t="shared" si="14"/>
        <v>32538.988452960006</v>
      </c>
      <c r="K594" s="232">
        <v>43986</v>
      </c>
      <c r="L594" s="192"/>
      <c r="M594" s="317"/>
      <c r="N594" s="292"/>
      <c r="O594" s="292"/>
    </row>
    <row r="595" spans="1:15" s="250" customFormat="1" ht="13.5" customHeight="1" x14ac:dyDescent="0.3">
      <c r="A595" s="185" t="s">
        <v>1684</v>
      </c>
      <c r="B595" s="251" t="s">
        <v>1295</v>
      </c>
      <c r="C595" s="187" t="s">
        <v>1485</v>
      </c>
      <c r="D595" s="225" t="s">
        <v>1724</v>
      </c>
      <c r="E595" s="190" t="s">
        <v>5</v>
      </c>
      <c r="F595" s="227"/>
      <c r="G595" s="233">
        <v>43983</v>
      </c>
      <c r="H595" s="252">
        <v>400</v>
      </c>
      <c r="I595" s="188">
        <v>596</v>
      </c>
      <c r="J595" s="188">
        <f t="shared" si="14"/>
        <v>238400</v>
      </c>
      <c r="K595" s="232">
        <v>43986</v>
      </c>
      <c r="L595" s="192"/>
      <c r="M595" s="317"/>
      <c r="N595" s="292"/>
      <c r="O595" s="292"/>
    </row>
    <row r="596" spans="1:15" s="250" customFormat="1" ht="13.5" customHeight="1" x14ac:dyDescent="0.3">
      <c r="A596" s="185" t="s">
        <v>1487</v>
      </c>
      <c r="B596" s="251" t="s">
        <v>1325</v>
      </c>
      <c r="C596" s="187" t="s">
        <v>928</v>
      </c>
      <c r="D596" s="225" t="s">
        <v>1549</v>
      </c>
      <c r="E596" s="190">
        <v>90</v>
      </c>
      <c r="F596" s="227" t="s">
        <v>20</v>
      </c>
      <c r="G596" s="233">
        <v>43985</v>
      </c>
      <c r="H596" s="252">
        <v>600</v>
      </c>
      <c r="I596" s="188">
        <v>900</v>
      </c>
      <c r="J596" s="188">
        <f t="shared" si="14"/>
        <v>540000</v>
      </c>
      <c r="K596" s="232">
        <v>43987</v>
      </c>
      <c r="L596" s="192"/>
      <c r="M596" s="317"/>
      <c r="N596" s="292"/>
      <c r="O596" s="292"/>
    </row>
    <row r="597" spans="1:15" s="250" customFormat="1" ht="13.5" customHeight="1" x14ac:dyDescent="0.3">
      <c r="A597" s="185" t="s">
        <v>1665</v>
      </c>
      <c r="B597" s="251" t="s">
        <v>1649</v>
      </c>
      <c r="C597" s="187" t="s">
        <v>331</v>
      </c>
      <c r="D597" s="225" t="s">
        <v>1714</v>
      </c>
      <c r="E597" s="190">
        <v>30</v>
      </c>
      <c r="F597" s="227" t="s">
        <v>20</v>
      </c>
      <c r="G597" s="233">
        <v>43990</v>
      </c>
      <c r="H597" s="252">
        <v>500</v>
      </c>
      <c r="I597" s="188">
        <v>242.44</v>
      </c>
      <c r="J597" s="188">
        <f t="shared" si="14"/>
        <v>121220</v>
      </c>
      <c r="K597" s="232">
        <v>43990</v>
      </c>
      <c r="L597" s="192"/>
      <c r="M597" s="317"/>
      <c r="N597" s="293"/>
      <c r="O597" s="293"/>
    </row>
    <row r="598" spans="1:15" s="250" customFormat="1" ht="13.5" customHeight="1" x14ac:dyDescent="0.3">
      <c r="A598" s="185" t="s">
        <v>1666</v>
      </c>
      <c r="B598" s="251" t="s">
        <v>1650</v>
      </c>
      <c r="C598" s="187" t="s">
        <v>331</v>
      </c>
      <c r="D598" s="225" t="s">
        <v>1715</v>
      </c>
      <c r="E598" s="190">
        <v>30</v>
      </c>
      <c r="F598" s="227" t="s">
        <v>20</v>
      </c>
      <c r="G598" s="233">
        <v>43990</v>
      </c>
      <c r="H598" s="252">
        <v>216</v>
      </c>
      <c r="I598" s="188">
        <v>242.44</v>
      </c>
      <c r="J598" s="188">
        <f t="shared" si="14"/>
        <v>52367.040000000001</v>
      </c>
      <c r="K598" s="232">
        <v>43990</v>
      </c>
      <c r="L598" s="192"/>
      <c r="M598" s="317"/>
      <c r="N598" s="293"/>
      <c r="O598" s="293"/>
    </row>
    <row r="599" spans="1:15" s="250" customFormat="1" ht="13.5" customHeight="1" x14ac:dyDescent="0.3">
      <c r="A599" s="185" t="s">
        <v>1667</v>
      </c>
      <c r="B599" s="251" t="s">
        <v>1650</v>
      </c>
      <c r="C599" s="187" t="s">
        <v>331</v>
      </c>
      <c r="D599" s="225" t="s">
        <v>1716</v>
      </c>
      <c r="E599" s="190">
        <v>30</v>
      </c>
      <c r="F599" s="227" t="s">
        <v>20</v>
      </c>
      <c r="G599" s="233">
        <v>43990</v>
      </c>
      <c r="H599" s="252">
        <v>225</v>
      </c>
      <c r="I599" s="188">
        <v>242.44</v>
      </c>
      <c r="J599" s="188">
        <f t="shared" si="14"/>
        <v>54549</v>
      </c>
      <c r="K599" s="232">
        <v>43990</v>
      </c>
      <c r="L599" s="192"/>
      <c r="M599" s="317"/>
      <c r="N599" s="293"/>
      <c r="O599" s="293"/>
    </row>
    <row r="600" spans="1:15" s="250" customFormat="1" ht="13.5" customHeight="1" x14ac:dyDescent="0.3">
      <c r="A600" s="185" t="s">
        <v>1486</v>
      </c>
      <c r="B600" s="251" t="s">
        <v>1292</v>
      </c>
      <c r="C600" s="187" t="s">
        <v>280</v>
      </c>
      <c r="D600" s="225" t="s">
        <v>1502</v>
      </c>
      <c r="E600" s="190">
        <v>90</v>
      </c>
      <c r="F600" s="227" t="s">
        <v>20</v>
      </c>
      <c r="G600" s="233">
        <v>43993</v>
      </c>
      <c r="H600" s="252">
        <v>400.8</v>
      </c>
      <c r="I600" s="188">
        <v>114</v>
      </c>
      <c r="J600" s="188">
        <f t="shared" si="14"/>
        <v>45691.200000000004</v>
      </c>
      <c r="K600" s="232">
        <v>43994</v>
      </c>
      <c r="L600" s="192"/>
      <c r="M600" s="317"/>
      <c r="N600" s="294"/>
      <c r="O600" s="294"/>
    </row>
    <row r="601" spans="1:15" s="250" customFormat="1" ht="13.5" customHeight="1" x14ac:dyDescent="0.3">
      <c r="A601" s="185" t="s">
        <v>1542</v>
      </c>
      <c r="B601" s="251" t="s">
        <v>1292</v>
      </c>
      <c r="C601" s="187" t="s">
        <v>280</v>
      </c>
      <c r="D601" s="225" t="s">
        <v>1543</v>
      </c>
      <c r="E601" s="190">
        <v>90</v>
      </c>
      <c r="F601" s="227" t="s">
        <v>20</v>
      </c>
      <c r="G601" s="233">
        <v>43994</v>
      </c>
      <c r="H601" s="252">
        <v>400.4</v>
      </c>
      <c r="I601" s="188">
        <v>129</v>
      </c>
      <c r="J601" s="188">
        <f t="shared" si="14"/>
        <v>51651.6</v>
      </c>
      <c r="K601" s="232">
        <v>43994</v>
      </c>
      <c r="L601" s="192"/>
      <c r="M601" s="317"/>
      <c r="N601" s="294"/>
      <c r="O601" s="294"/>
    </row>
    <row r="602" spans="1:15" s="250" customFormat="1" ht="13.5" customHeight="1" x14ac:dyDescent="0.25">
      <c r="A602" s="185" t="s">
        <v>514</v>
      </c>
      <c r="B602" s="251" t="s">
        <v>1292</v>
      </c>
      <c r="C602" s="187" t="s">
        <v>280</v>
      </c>
      <c r="D602" s="225"/>
      <c r="E602" s="190"/>
      <c r="F602" s="227"/>
      <c r="G602" s="233">
        <v>43994</v>
      </c>
      <c r="H602" s="252"/>
      <c r="I602" s="188"/>
      <c r="J602" s="188">
        <v>-8064.2</v>
      </c>
      <c r="K602" s="232">
        <v>43994</v>
      </c>
      <c r="L602" s="192"/>
      <c r="M602" s="317"/>
      <c r="N602" s="294"/>
      <c r="O602" s="294"/>
    </row>
    <row r="603" spans="1:15" s="250" customFormat="1" ht="13.5" customHeight="1" x14ac:dyDescent="0.3">
      <c r="A603" s="185" t="s">
        <v>1493</v>
      </c>
      <c r="B603" s="251" t="s">
        <v>653</v>
      </c>
      <c r="C603" s="187" t="s">
        <v>1497</v>
      </c>
      <c r="D603" s="225" t="s">
        <v>1554</v>
      </c>
      <c r="E603" s="190">
        <v>90</v>
      </c>
      <c r="F603" s="227" t="s">
        <v>20</v>
      </c>
      <c r="G603" s="233">
        <v>43993</v>
      </c>
      <c r="H603" s="252">
        <v>440</v>
      </c>
      <c r="I603" s="188">
        <v>719</v>
      </c>
      <c r="J603" s="188">
        <f t="shared" ref="J603:J610" si="15">+I603*H603</f>
        <v>316360</v>
      </c>
      <c r="K603" s="232">
        <v>43994</v>
      </c>
      <c r="L603" s="192"/>
      <c r="M603" s="317"/>
      <c r="N603" s="294"/>
      <c r="O603" s="294"/>
    </row>
    <row r="604" spans="1:15" s="250" customFormat="1" ht="13.5" customHeight="1" x14ac:dyDescent="0.3">
      <c r="A604" s="185" t="s">
        <v>1578</v>
      </c>
      <c r="B604" s="251" t="s">
        <v>1601</v>
      </c>
      <c r="C604" s="187" t="s">
        <v>42</v>
      </c>
      <c r="D604" s="225" t="s">
        <v>1755</v>
      </c>
      <c r="E604" s="190">
        <v>3</v>
      </c>
      <c r="F604" s="227" t="s">
        <v>20</v>
      </c>
      <c r="G604" s="233">
        <v>43994</v>
      </c>
      <c r="H604" s="252">
        <v>251.72</v>
      </c>
      <c r="I604" s="188">
        <v>215</v>
      </c>
      <c r="J604" s="188">
        <f t="shared" si="15"/>
        <v>54119.8</v>
      </c>
      <c r="K604" s="232">
        <v>43994</v>
      </c>
      <c r="L604" s="192"/>
      <c r="M604" s="317"/>
      <c r="N604" s="294"/>
      <c r="O604" s="294"/>
    </row>
    <row r="605" spans="1:15" s="250" customFormat="1" ht="13.5" customHeight="1" x14ac:dyDescent="0.3">
      <c r="A605" s="185" t="s">
        <v>1670</v>
      </c>
      <c r="B605" s="251" t="s">
        <v>1387</v>
      </c>
      <c r="C605" s="187" t="s">
        <v>311</v>
      </c>
      <c r="D605" s="225" t="s">
        <v>1726</v>
      </c>
      <c r="E605" s="190" t="s">
        <v>5</v>
      </c>
      <c r="F605" s="227"/>
      <c r="G605" s="233">
        <v>43991</v>
      </c>
      <c r="H605" s="252">
        <v>2200</v>
      </c>
      <c r="I605" s="188">
        <v>354</v>
      </c>
      <c r="J605" s="188">
        <f t="shared" si="15"/>
        <v>778800</v>
      </c>
      <c r="K605" s="232">
        <v>43994</v>
      </c>
      <c r="L605" s="192"/>
      <c r="M605" s="317"/>
      <c r="N605" s="295"/>
      <c r="O605" s="295"/>
    </row>
    <row r="606" spans="1:15" s="250" customFormat="1" ht="13.5" customHeight="1" x14ac:dyDescent="0.3">
      <c r="A606" s="185" t="s">
        <v>1683</v>
      </c>
      <c r="B606" s="251" t="s">
        <v>1295</v>
      </c>
      <c r="C606" s="187" t="s">
        <v>1485</v>
      </c>
      <c r="D606" s="225" t="s">
        <v>1723</v>
      </c>
      <c r="E606" s="190" t="s">
        <v>5</v>
      </c>
      <c r="F606" s="227"/>
      <c r="G606" s="233">
        <v>43990</v>
      </c>
      <c r="H606" s="252">
        <v>450</v>
      </c>
      <c r="I606" s="188">
        <v>586</v>
      </c>
      <c r="J606" s="188">
        <f t="shared" si="15"/>
        <v>263700</v>
      </c>
      <c r="K606" s="232">
        <v>43994</v>
      </c>
      <c r="L606" s="192"/>
      <c r="M606" s="317"/>
      <c r="N606" s="295"/>
      <c r="O606" s="295"/>
    </row>
    <row r="607" spans="1:15" s="250" customFormat="1" ht="13.5" customHeight="1" x14ac:dyDescent="0.3">
      <c r="A607" s="185" t="s">
        <v>1663</v>
      </c>
      <c r="B607" s="251" t="s">
        <v>1649</v>
      </c>
      <c r="C607" s="187" t="s">
        <v>331</v>
      </c>
      <c r="D607" s="225" t="s">
        <v>1741</v>
      </c>
      <c r="E607" s="190">
        <v>30</v>
      </c>
      <c r="F607" s="227" t="s">
        <v>20</v>
      </c>
      <c r="G607" s="233">
        <v>43994</v>
      </c>
      <c r="H607" s="252">
        <v>500</v>
      </c>
      <c r="I607" s="188">
        <v>242.44</v>
      </c>
      <c r="J607" s="188">
        <f t="shared" si="15"/>
        <v>121220</v>
      </c>
      <c r="K607" s="232">
        <v>43998</v>
      </c>
      <c r="L607" s="192"/>
      <c r="M607" s="317"/>
      <c r="N607" s="296"/>
      <c r="O607" s="296"/>
    </row>
    <row r="608" spans="1:15" s="250" customFormat="1" ht="13.5" customHeight="1" x14ac:dyDescent="0.3">
      <c r="A608" s="185" t="s">
        <v>1664</v>
      </c>
      <c r="B608" s="251" t="s">
        <v>1649</v>
      </c>
      <c r="C608" s="187" t="s">
        <v>331</v>
      </c>
      <c r="D608" s="225" t="s">
        <v>1742</v>
      </c>
      <c r="E608" s="190">
        <v>30</v>
      </c>
      <c r="F608" s="227" t="s">
        <v>20</v>
      </c>
      <c r="G608" s="233">
        <v>43994</v>
      </c>
      <c r="H608" s="252">
        <v>500</v>
      </c>
      <c r="I608" s="188">
        <v>242.44</v>
      </c>
      <c r="J608" s="188">
        <f t="shared" si="15"/>
        <v>121220</v>
      </c>
      <c r="K608" s="232">
        <v>43998</v>
      </c>
      <c r="L608" s="192"/>
      <c r="M608" s="317"/>
      <c r="N608" s="296"/>
      <c r="O608" s="296"/>
    </row>
    <row r="609" spans="1:15" s="250" customFormat="1" ht="13.5" customHeight="1" x14ac:dyDescent="0.3">
      <c r="A609" s="185" t="s">
        <v>1668</v>
      </c>
      <c r="B609" s="251" t="s">
        <v>1649</v>
      </c>
      <c r="C609" s="187" t="s">
        <v>331</v>
      </c>
      <c r="D609" s="225" t="s">
        <v>1743</v>
      </c>
      <c r="E609" s="190">
        <v>30</v>
      </c>
      <c r="F609" s="227" t="s">
        <v>20</v>
      </c>
      <c r="G609" s="233">
        <v>43994</v>
      </c>
      <c r="H609" s="252">
        <v>75</v>
      </c>
      <c r="I609" s="188">
        <v>242.44</v>
      </c>
      <c r="J609" s="188">
        <f t="shared" si="15"/>
        <v>18183</v>
      </c>
      <c r="K609" s="232">
        <v>43998</v>
      </c>
      <c r="L609" s="192"/>
      <c r="M609" s="317"/>
      <c r="N609" s="296"/>
      <c r="O609" s="296"/>
    </row>
    <row r="610" spans="1:15" s="250" customFormat="1" ht="13.5" customHeight="1" x14ac:dyDescent="0.3">
      <c r="A610" s="185" t="s">
        <v>1513</v>
      </c>
      <c r="B610" s="251" t="s">
        <v>1523</v>
      </c>
      <c r="C610" s="187" t="s">
        <v>331</v>
      </c>
      <c r="D610" s="225" t="s">
        <v>552</v>
      </c>
      <c r="E610" s="190">
        <v>60</v>
      </c>
      <c r="F610" s="227" t="s">
        <v>45</v>
      </c>
      <c r="G610" s="233">
        <v>43999</v>
      </c>
      <c r="H610" s="252">
        <v>6001</v>
      </c>
      <c r="I610" s="188">
        <f>366.9*(1+1%)</f>
        <v>370.56899999999996</v>
      </c>
      <c r="J610" s="188">
        <f t="shared" si="15"/>
        <v>2223784.5689999997</v>
      </c>
      <c r="K610" s="232">
        <v>43999</v>
      </c>
      <c r="L610" s="192"/>
      <c r="M610" s="317"/>
      <c r="N610" s="297"/>
      <c r="O610" s="297"/>
    </row>
    <row r="611" spans="1:15" s="250" customFormat="1" ht="13.5" customHeight="1" x14ac:dyDescent="0.25">
      <c r="A611" s="185" t="s">
        <v>1637</v>
      </c>
      <c r="B611" s="251" t="s">
        <v>1293</v>
      </c>
      <c r="C611" s="187" t="s">
        <v>1485</v>
      </c>
      <c r="D611" s="225" t="s">
        <v>1725</v>
      </c>
      <c r="E611" s="190" t="s">
        <v>5</v>
      </c>
      <c r="F611" s="227"/>
      <c r="G611" s="233">
        <v>44001</v>
      </c>
      <c r="H611" s="252">
        <v>400</v>
      </c>
      <c r="I611" s="188">
        <v>237.5</v>
      </c>
      <c r="J611" s="188">
        <v>95000</v>
      </c>
      <c r="K611" s="232">
        <v>44001</v>
      </c>
      <c r="L611" s="192"/>
      <c r="M611" s="317"/>
      <c r="N611" s="297"/>
      <c r="O611" s="297"/>
    </row>
    <row r="612" spans="1:15" s="250" customFormat="1" ht="13.5" customHeight="1" x14ac:dyDescent="0.25">
      <c r="A612" s="185" t="s">
        <v>1685</v>
      </c>
      <c r="B612" s="251" t="s">
        <v>1326</v>
      </c>
      <c r="C612" s="187" t="s">
        <v>1485</v>
      </c>
      <c r="D612" s="225" t="s">
        <v>1756</v>
      </c>
      <c r="E612" s="190" t="s">
        <v>5</v>
      </c>
      <c r="F612" s="227"/>
      <c r="G612" s="233">
        <v>43998</v>
      </c>
      <c r="H612" s="252">
        <v>100</v>
      </c>
      <c r="I612" s="188">
        <v>445</v>
      </c>
      <c r="J612" s="188">
        <v>44500</v>
      </c>
      <c r="K612" s="232">
        <v>44001</v>
      </c>
      <c r="L612" s="192"/>
      <c r="M612" s="317"/>
      <c r="N612" s="297"/>
      <c r="O612" s="297"/>
    </row>
    <row r="613" spans="1:15" s="250" customFormat="1" ht="13.5" customHeight="1" x14ac:dyDescent="0.3">
      <c r="A613" s="185" t="s">
        <v>1530</v>
      </c>
      <c r="B613" s="251" t="s">
        <v>1531</v>
      </c>
      <c r="C613" s="187" t="s">
        <v>1532</v>
      </c>
      <c r="D613" s="225" t="s">
        <v>1545</v>
      </c>
      <c r="E613" s="190">
        <v>90</v>
      </c>
      <c r="F613" s="227" t="s">
        <v>20</v>
      </c>
      <c r="G613" s="233">
        <v>44000</v>
      </c>
      <c r="H613" s="252">
        <v>8.4</v>
      </c>
      <c r="I613" s="188">
        <v>4530</v>
      </c>
      <c r="J613" s="188">
        <f t="shared" ref="J613:J618" si="16">+I613*H613</f>
        <v>38052</v>
      </c>
      <c r="K613" s="232">
        <v>44001</v>
      </c>
      <c r="L613" s="192"/>
      <c r="M613" s="317"/>
      <c r="N613" s="297"/>
      <c r="O613" s="297"/>
    </row>
    <row r="614" spans="1:15" s="250" customFormat="1" ht="13.5" customHeight="1" x14ac:dyDescent="0.3">
      <c r="A614" s="185" t="s">
        <v>1520</v>
      </c>
      <c r="B614" s="251" t="s">
        <v>1258</v>
      </c>
      <c r="C614" s="187" t="s">
        <v>1185</v>
      </c>
      <c r="D614" s="225" t="s">
        <v>1559</v>
      </c>
      <c r="E614" s="190">
        <v>60</v>
      </c>
      <c r="F614" s="227" t="s">
        <v>20</v>
      </c>
      <c r="G614" s="233">
        <v>43997</v>
      </c>
      <c r="H614" s="252">
        <v>2.88</v>
      </c>
      <c r="I614" s="188">
        <v>2200</v>
      </c>
      <c r="J614" s="188">
        <f t="shared" si="16"/>
        <v>6336</v>
      </c>
      <c r="K614" s="232">
        <v>44001</v>
      </c>
      <c r="L614" s="192"/>
      <c r="M614" s="317"/>
      <c r="N614" s="297"/>
      <c r="O614" s="297"/>
    </row>
    <row r="615" spans="1:15" s="250" customFormat="1" ht="13.5" customHeight="1" x14ac:dyDescent="0.3">
      <c r="A615" s="185" t="s">
        <v>1521</v>
      </c>
      <c r="B615" s="251" t="s">
        <v>1527</v>
      </c>
      <c r="C615" s="187" t="s">
        <v>1185</v>
      </c>
      <c r="D615" s="225" t="s">
        <v>1559</v>
      </c>
      <c r="E615" s="190">
        <v>60</v>
      </c>
      <c r="F615" s="227" t="s">
        <v>20</v>
      </c>
      <c r="G615" s="233">
        <v>43997</v>
      </c>
      <c r="H615" s="252">
        <v>5</v>
      </c>
      <c r="I615" s="188">
        <v>2200</v>
      </c>
      <c r="J615" s="188">
        <f t="shared" si="16"/>
        <v>11000</v>
      </c>
      <c r="K615" s="232">
        <v>44001</v>
      </c>
      <c r="L615" s="192"/>
      <c r="M615" s="317"/>
      <c r="N615" s="297"/>
      <c r="O615" s="297"/>
    </row>
    <row r="616" spans="1:15" s="250" customFormat="1" ht="13.5" customHeight="1" x14ac:dyDescent="0.3">
      <c r="A616" s="185" t="s">
        <v>1522</v>
      </c>
      <c r="B616" s="251" t="s">
        <v>1528</v>
      </c>
      <c r="C616" s="187" t="s">
        <v>1185</v>
      </c>
      <c r="D616" s="225" t="s">
        <v>1559</v>
      </c>
      <c r="E616" s="190">
        <v>60</v>
      </c>
      <c r="F616" s="227" t="s">
        <v>20</v>
      </c>
      <c r="G616" s="233">
        <v>43997</v>
      </c>
      <c r="H616" s="252">
        <v>5.76</v>
      </c>
      <c r="I616" s="188">
        <v>3020</v>
      </c>
      <c r="J616" s="188">
        <f t="shared" si="16"/>
        <v>17395.2</v>
      </c>
      <c r="K616" s="232">
        <v>44001</v>
      </c>
      <c r="L616" s="192"/>
      <c r="M616" s="317"/>
      <c r="N616" s="297"/>
      <c r="O616" s="297"/>
    </row>
    <row r="617" spans="1:15" s="250" customFormat="1" ht="13.5" customHeight="1" x14ac:dyDescent="0.3">
      <c r="A617" s="185" t="s">
        <v>1541</v>
      </c>
      <c r="B617" s="251" t="s">
        <v>1292</v>
      </c>
      <c r="C617" s="187" t="s">
        <v>280</v>
      </c>
      <c r="D617" s="225" t="s">
        <v>1544</v>
      </c>
      <c r="E617" s="190">
        <v>90</v>
      </c>
      <c r="F617" s="227" t="s">
        <v>20</v>
      </c>
      <c r="G617" s="233">
        <v>44001</v>
      </c>
      <c r="H617" s="252">
        <v>400.4</v>
      </c>
      <c r="I617" s="188">
        <v>129</v>
      </c>
      <c r="J617" s="188">
        <f t="shared" si="16"/>
        <v>51651.6</v>
      </c>
      <c r="K617" s="232">
        <v>44001</v>
      </c>
      <c r="L617" s="192"/>
      <c r="M617" s="317"/>
      <c r="N617" s="297"/>
      <c r="O617" s="297"/>
    </row>
    <row r="618" spans="1:15" s="250" customFormat="1" ht="13.5" customHeight="1" x14ac:dyDescent="0.3">
      <c r="A618" s="185" t="s">
        <v>1579</v>
      </c>
      <c r="B618" s="251" t="s">
        <v>1601</v>
      </c>
      <c r="C618" s="187" t="s">
        <v>42</v>
      </c>
      <c r="D618" s="225" t="s">
        <v>1757</v>
      </c>
      <c r="E618" s="190">
        <v>3</v>
      </c>
      <c r="F618" s="227" t="s">
        <v>20</v>
      </c>
      <c r="G618" s="233">
        <v>44004</v>
      </c>
      <c r="H618" s="252">
        <v>251.76</v>
      </c>
      <c r="I618" s="188">
        <v>215</v>
      </c>
      <c r="J618" s="188">
        <f t="shared" si="16"/>
        <v>54128.4</v>
      </c>
      <c r="K618" s="232">
        <v>44006</v>
      </c>
      <c r="L618" s="192"/>
      <c r="M618" s="317"/>
      <c r="N618" s="298"/>
      <c r="O618" s="298"/>
    </row>
    <row r="619" spans="1:15" s="250" customFormat="1" ht="13.5" customHeight="1" x14ac:dyDescent="0.3">
      <c r="A619" s="185" t="s">
        <v>1514</v>
      </c>
      <c r="B619" s="251" t="s">
        <v>1524</v>
      </c>
      <c r="C619" s="187" t="s">
        <v>331</v>
      </c>
      <c r="D619" s="225" t="s">
        <v>552</v>
      </c>
      <c r="E619" s="190">
        <v>60</v>
      </c>
      <c r="F619" s="227" t="s">
        <v>45</v>
      </c>
      <c r="G619" s="233">
        <v>44006</v>
      </c>
      <c r="H619" s="252">
        <v>1574.4</v>
      </c>
      <c r="I619" s="188">
        <v>446.72300000000001</v>
      </c>
      <c r="J619" s="188">
        <v>703320.69120000012</v>
      </c>
      <c r="K619" s="232">
        <v>44006</v>
      </c>
      <c r="L619" s="192"/>
      <c r="M619" s="317"/>
      <c r="N619" s="299"/>
      <c r="O619" s="299"/>
    </row>
    <row r="620" spans="1:15" s="250" customFormat="1" ht="13.5" customHeight="1" x14ac:dyDescent="0.3">
      <c r="A620" s="185" t="s">
        <v>1515</v>
      </c>
      <c r="B620" s="251" t="s">
        <v>1525</v>
      </c>
      <c r="C620" s="187" t="s">
        <v>331</v>
      </c>
      <c r="D620" s="225" t="s">
        <v>552</v>
      </c>
      <c r="E620" s="190">
        <v>60</v>
      </c>
      <c r="F620" s="227" t="s">
        <v>45</v>
      </c>
      <c r="G620" s="233">
        <v>44006</v>
      </c>
      <c r="H620" s="252">
        <v>4018</v>
      </c>
      <c r="I620" s="188">
        <v>506.11100000000005</v>
      </c>
      <c r="J620" s="188">
        <v>2033553.9980000001</v>
      </c>
      <c r="K620" s="232">
        <v>44006</v>
      </c>
      <c r="L620" s="192"/>
      <c r="M620" s="317"/>
      <c r="N620" s="299"/>
      <c r="O620" s="299"/>
    </row>
    <row r="621" spans="1:15" s="250" customFormat="1" ht="13.5" customHeight="1" x14ac:dyDescent="0.3">
      <c r="A621" s="185" t="s">
        <v>1680</v>
      </c>
      <c r="B621" s="251" t="s">
        <v>1649</v>
      </c>
      <c r="C621" s="187" t="s">
        <v>331</v>
      </c>
      <c r="D621" s="225" t="s">
        <v>1745</v>
      </c>
      <c r="E621" s="190">
        <v>30</v>
      </c>
      <c r="F621" s="227" t="s">
        <v>20</v>
      </c>
      <c r="G621" s="233">
        <v>44006</v>
      </c>
      <c r="H621" s="252">
        <v>216</v>
      </c>
      <c r="I621" s="188">
        <v>242.44</v>
      </c>
      <c r="J621" s="188">
        <v>52367.040000000001</v>
      </c>
      <c r="K621" s="232">
        <v>44006</v>
      </c>
      <c r="L621" s="192"/>
      <c r="M621" s="317"/>
      <c r="N621" s="299"/>
      <c r="O621" s="299"/>
    </row>
    <row r="622" spans="1:15" s="250" customFormat="1" ht="13.5" customHeight="1" x14ac:dyDescent="0.3">
      <c r="A622" s="185" t="s">
        <v>1682</v>
      </c>
      <c r="B622" s="251" t="s">
        <v>1649</v>
      </c>
      <c r="C622" s="187" t="s">
        <v>331</v>
      </c>
      <c r="D622" s="225" t="s">
        <v>1747</v>
      </c>
      <c r="E622" s="190">
        <v>30</v>
      </c>
      <c r="F622" s="227" t="s">
        <v>20</v>
      </c>
      <c r="G622" s="233">
        <v>44006</v>
      </c>
      <c r="H622" s="252">
        <v>250</v>
      </c>
      <c r="I622" s="188">
        <v>242.44</v>
      </c>
      <c r="J622" s="188">
        <v>60610</v>
      </c>
      <c r="K622" s="232">
        <v>44006</v>
      </c>
      <c r="L622" s="192"/>
      <c r="M622" s="317"/>
      <c r="N622" s="299"/>
      <c r="O622" s="299"/>
    </row>
    <row r="623" spans="1:15" s="250" customFormat="1" ht="13.5" customHeight="1" x14ac:dyDescent="0.3">
      <c r="A623" s="185" t="s">
        <v>1491</v>
      </c>
      <c r="B623" s="251" t="s">
        <v>653</v>
      </c>
      <c r="C623" s="187" t="s">
        <v>1496</v>
      </c>
      <c r="D623" s="225" t="s">
        <v>1553</v>
      </c>
      <c r="E623" s="190">
        <v>90</v>
      </c>
      <c r="F623" s="227" t="s">
        <v>20</v>
      </c>
      <c r="G623" s="233">
        <v>44006</v>
      </c>
      <c r="H623" s="252">
        <v>408</v>
      </c>
      <c r="I623" s="188">
        <v>707</v>
      </c>
      <c r="J623" s="188">
        <f>+I623*H623</f>
        <v>288456</v>
      </c>
      <c r="K623" s="232">
        <v>44007</v>
      </c>
      <c r="L623" s="192"/>
      <c r="M623" s="317"/>
      <c r="N623" s="298"/>
      <c r="O623" s="298"/>
    </row>
    <row r="624" spans="1:15" s="250" customFormat="1" ht="13.5" customHeight="1" x14ac:dyDescent="0.25">
      <c r="A624" s="185" t="s">
        <v>1671</v>
      </c>
      <c r="B624" s="251" t="s">
        <v>1687</v>
      </c>
      <c r="C624" s="187" t="s">
        <v>1485</v>
      </c>
      <c r="D624" s="225" t="s">
        <v>1758</v>
      </c>
      <c r="E624" s="190" t="s">
        <v>5</v>
      </c>
      <c r="F624" s="227"/>
      <c r="G624" s="233">
        <v>44004</v>
      </c>
      <c r="H624" s="252">
        <v>81</v>
      </c>
      <c r="I624" s="188">
        <v>1060</v>
      </c>
      <c r="J624" s="188">
        <f>+I624*H624</f>
        <v>85860</v>
      </c>
      <c r="K624" s="232">
        <v>44007</v>
      </c>
      <c r="L624" s="192"/>
      <c r="M624" s="317"/>
      <c r="N624" s="298"/>
      <c r="O624" s="298"/>
    </row>
    <row r="625" spans="1:15" s="250" customFormat="1" ht="13.5" customHeight="1" x14ac:dyDescent="0.25">
      <c r="A625" s="185" t="s">
        <v>1672</v>
      </c>
      <c r="B625" s="251" t="s">
        <v>1687</v>
      </c>
      <c r="C625" s="187" t="s">
        <v>1485</v>
      </c>
      <c r="D625" s="225" t="s">
        <v>1759</v>
      </c>
      <c r="E625" s="190" t="s">
        <v>5</v>
      </c>
      <c r="F625" s="227"/>
      <c r="G625" s="233">
        <v>44004</v>
      </c>
      <c r="H625" s="252">
        <v>170.4</v>
      </c>
      <c r="I625" s="188">
        <v>1078</v>
      </c>
      <c r="J625" s="188">
        <f>+I625*H625</f>
        <v>183691.2</v>
      </c>
      <c r="K625" s="232">
        <v>44007</v>
      </c>
      <c r="L625" s="192"/>
      <c r="M625" s="317"/>
      <c r="N625" s="298"/>
      <c r="O625" s="298"/>
    </row>
    <row r="626" spans="1:15" s="250" customFormat="1" ht="13.5" customHeight="1" x14ac:dyDescent="0.3">
      <c r="A626" s="185" t="s">
        <v>1681</v>
      </c>
      <c r="B626" s="251" t="s">
        <v>1649</v>
      </c>
      <c r="C626" s="187" t="s">
        <v>331</v>
      </c>
      <c r="D626" s="225" t="s">
        <v>1746</v>
      </c>
      <c r="E626" s="190">
        <v>30</v>
      </c>
      <c r="F626" s="227" t="s">
        <v>20</v>
      </c>
      <c r="G626" s="233">
        <v>44012</v>
      </c>
      <c r="H626" s="252">
        <v>200</v>
      </c>
      <c r="I626" s="188">
        <v>242.44</v>
      </c>
      <c r="J626" s="188">
        <v>48488</v>
      </c>
      <c r="K626" s="232">
        <v>44015</v>
      </c>
      <c r="L626" s="192"/>
      <c r="M626" s="317"/>
      <c r="N626" s="300"/>
      <c r="O626" s="300"/>
    </row>
    <row r="627" spans="1:15" s="250" customFormat="1" ht="13.5" customHeight="1" x14ac:dyDescent="0.3">
      <c r="A627" s="185" t="s">
        <v>1748</v>
      </c>
      <c r="B627" s="251" t="s">
        <v>1650</v>
      </c>
      <c r="C627" s="187" t="s">
        <v>331</v>
      </c>
      <c r="D627" s="225" t="s">
        <v>1760</v>
      </c>
      <c r="E627" s="190">
        <v>30</v>
      </c>
      <c r="F627" s="227" t="s">
        <v>20</v>
      </c>
      <c r="G627" s="233">
        <v>44015</v>
      </c>
      <c r="H627" s="252">
        <v>504</v>
      </c>
      <c r="I627" s="188">
        <v>220.34</v>
      </c>
      <c r="J627" s="188">
        <f t="shared" ref="J627:J635" si="17">+I627*H627</f>
        <v>111051.36</v>
      </c>
      <c r="K627" s="232">
        <v>44015</v>
      </c>
      <c r="L627" s="192"/>
      <c r="M627" s="317"/>
      <c r="N627" s="300"/>
      <c r="O627" s="300"/>
    </row>
    <row r="628" spans="1:15" s="250" customFormat="1" ht="13.5" customHeight="1" x14ac:dyDescent="0.3">
      <c r="A628" s="185" t="s">
        <v>1492</v>
      </c>
      <c r="B628" s="251" t="s">
        <v>653</v>
      </c>
      <c r="C628" s="187" t="s">
        <v>1496</v>
      </c>
      <c r="D628" s="225" t="s">
        <v>1653</v>
      </c>
      <c r="E628" s="190">
        <v>90</v>
      </c>
      <c r="F628" s="227" t="s">
        <v>20</v>
      </c>
      <c r="G628" s="233">
        <v>44014</v>
      </c>
      <c r="H628" s="252">
        <v>264</v>
      </c>
      <c r="I628" s="188">
        <v>715</v>
      </c>
      <c r="J628" s="188">
        <f t="shared" si="17"/>
        <v>188760</v>
      </c>
      <c r="K628" s="232">
        <v>44015</v>
      </c>
      <c r="L628" s="192"/>
      <c r="M628" s="317"/>
      <c r="N628" s="300"/>
      <c r="O628" s="300"/>
    </row>
    <row r="629" spans="1:15" s="250" customFormat="1" ht="13.5" customHeight="1" x14ac:dyDescent="0.25">
      <c r="A629" s="185" t="s">
        <v>1686</v>
      </c>
      <c r="B629" s="251" t="s">
        <v>1600</v>
      </c>
      <c r="C629" s="187" t="s">
        <v>1485</v>
      </c>
      <c r="D629" s="225" t="s">
        <v>1812</v>
      </c>
      <c r="E629" s="190" t="s">
        <v>5</v>
      </c>
      <c r="F629" s="227"/>
      <c r="G629" s="233">
        <v>44014</v>
      </c>
      <c r="H629" s="252">
        <v>140</v>
      </c>
      <c r="I629" s="188">
        <v>416</v>
      </c>
      <c r="J629" s="188">
        <f t="shared" si="17"/>
        <v>58240</v>
      </c>
      <c r="K629" s="232">
        <v>44015</v>
      </c>
      <c r="L629" s="192"/>
      <c r="M629" s="317"/>
      <c r="N629" s="300"/>
      <c r="O629" s="300"/>
    </row>
    <row r="630" spans="1:15" s="250" customFormat="1" ht="13.5" customHeight="1" x14ac:dyDescent="0.3">
      <c r="A630" s="185" t="s">
        <v>1480</v>
      </c>
      <c r="B630" s="251" t="s">
        <v>1295</v>
      </c>
      <c r="C630" s="187" t="s">
        <v>1485</v>
      </c>
      <c r="D630" s="225" t="s">
        <v>1696</v>
      </c>
      <c r="E630" s="190">
        <v>90</v>
      </c>
      <c r="F630" s="227" t="s">
        <v>20</v>
      </c>
      <c r="G630" s="233">
        <v>44015</v>
      </c>
      <c r="H630" s="252">
        <v>426</v>
      </c>
      <c r="I630" s="188">
        <v>614</v>
      </c>
      <c r="J630" s="188">
        <f t="shared" si="17"/>
        <v>261564</v>
      </c>
      <c r="K630" s="232">
        <v>44015</v>
      </c>
      <c r="L630" s="192"/>
      <c r="M630" s="317"/>
      <c r="N630" s="300"/>
      <c r="O630" s="300"/>
    </row>
    <row r="631" spans="1:15" s="250" customFormat="1" ht="13.5" customHeight="1" x14ac:dyDescent="0.3">
      <c r="A631" s="185" t="s">
        <v>1565</v>
      </c>
      <c r="B631" s="251" t="s">
        <v>1597</v>
      </c>
      <c r="C631" s="187" t="s">
        <v>1496</v>
      </c>
      <c r="D631" s="225" t="s">
        <v>1698</v>
      </c>
      <c r="E631" s="190">
        <v>60</v>
      </c>
      <c r="F631" s="227" t="s">
        <v>20</v>
      </c>
      <c r="G631" s="233">
        <v>44025</v>
      </c>
      <c r="H631" s="252">
        <v>48</v>
      </c>
      <c r="I631" s="188">
        <v>719</v>
      </c>
      <c r="J631" s="188">
        <f t="shared" si="17"/>
        <v>34512</v>
      </c>
      <c r="K631" s="232">
        <v>44022</v>
      </c>
      <c r="L631" s="192"/>
      <c r="M631" s="317"/>
      <c r="N631" s="300"/>
      <c r="O631" s="300"/>
    </row>
    <row r="632" spans="1:15" s="250" customFormat="1" ht="13.5" customHeight="1" x14ac:dyDescent="0.3">
      <c r="A632" s="185" t="s">
        <v>1566</v>
      </c>
      <c r="B632" s="251" t="s">
        <v>1597</v>
      </c>
      <c r="C632" s="187" t="s">
        <v>1496</v>
      </c>
      <c r="D632" s="225" t="s">
        <v>1699</v>
      </c>
      <c r="E632" s="190">
        <v>60</v>
      </c>
      <c r="F632" s="227" t="s">
        <v>20</v>
      </c>
      <c r="G632" s="233">
        <v>44025</v>
      </c>
      <c r="H632" s="252">
        <v>48</v>
      </c>
      <c r="I632" s="188">
        <v>727</v>
      </c>
      <c r="J632" s="188">
        <f t="shared" si="17"/>
        <v>34896</v>
      </c>
      <c r="K632" s="232">
        <v>44022</v>
      </c>
      <c r="L632" s="192"/>
      <c r="M632" s="317"/>
      <c r="N632" s="300"/>
      <c r="O632" s="300"/>
    </row>
    <row r="633" spans="1:15" s="250" customFormat="1" ht="13.5" customHeight="1" x14ac:dyDescent="0.3">
      <c r="A633" s="185" t="s">
        <v>1568</v>
      </c>
      <c r="B633" s="251" t="s">
        <v>1326</v>
      </c>
      <c r="C633" s="187" t="s">
        <v>1497</v>
      </c>
      <c r="D633" s="225" t="s">
        <v>1656</v>
      </c>
      <c r="E633" s="190">
        <v>90</v>
      </c>
      <c r="F633" s="227" t="s">
        <v>20</v>
      </c>
      <c r="G633" s="233">
        <v>44022</v>
      </c>
      <c r="H633" s="252">
        <v>600</v>
      </c>
      <c r="I633" s="188">
        <v>467</v>
      </c>
      <c r="J633" s="188">
        <f t="shared" si="17"/>
        <v>280200</v>
      </c>
      <c r="K633" s="232">
        <v>44022</v>
      </c>
      <c r="L633" s="192"/>
      <c r="M633" s="317"/>
      <c r="N633" s="300"/>
      <c r="O633" s="300"/>
    </row>
    <row r="634" spans="1:15" s="250" customFormat="1" ht="13.5" customHeight="1" x14ac:dyDescent="0.3">
      <c r="A634" s="185" t="s">
        <v>1763</v>
      </c>
      <c r="B634" s="251" t="s">
        <v>1649</v>
      </c>
      <c r="C634" s="187" t="s">
        <v>331</v>
      </c>
      <c r="D634" s="225" t="s">
        <v>1811</v>
      </c>
      <c r="E634" s="190">
        <v>30</v>
      </c>
      <c r="F634" s="227" t="s">
        <v>20</v>
      </c>
      <c r="G634" s="233">
        <v>44022</v>
      </c>
      <c r="H634" s="252">
        <v>275</v>
      </c>
      <c r="I634" s="188">
        <v>220.34</v>
      </c>
      <c r="J634" s="188">
        <f t="shared" si="17"/>
        <v>60593.5</v>
      </c>
      <c r="K634" s="232">
        <v>44022</v>
      </c>
      <c r="L634" s="192"/>
      <c r="M634" s="317"/>
      <c r="N634" s="300"/>
      <c r="O634" s="300"/>
    </row>
    <row r="635" spans="1:15" s="250" customFormat="1" ht="13.5" customHeight="1" x14ac:dyDescent="0.3">
      <c r="A635" s="185" t="s">
        <v>1750</v>
      </c>
      <c r="B635" s="251" t="s">
        <v>1649</v>
      </c>
      <c r="C635" s="187" t="s">
        <v>331</v>
      </c>
      <c r="D635" s="225" t="s">
        <v>1829</v>
      </c>
      <c r="E635" s="190">
        <v>30</v>
      </c>
      <c r="F635" s="227" t="s">
        <v>20</v>
      </c>
      <c r="G635" s="233">
        <v>44025</v>
      </c>
      <c r="H635" s="252">
        <v>75</v>
      </c>
      <c r="I635" s="188">
        <v>220.34</v>
      </c>
      <c r="J635" s="188">
        <f t="shared" si="17"/>
        <v>16525.5</v>
      </c>
      <c r="K635" s="232">
        <v>44021</v>
      </c>
      <c r="L635" s="192"/>
      <c r="M635" s="317"/>
      <c r="N635" s="301"/>
      <c r="O635" s="301"/>
    </row>
    <row r="636" spans="1:15" s="250" customFormat="1" ht="13.5" customHeight="1" x14ac:dyDescent="0.3">
      <c r="A636" s="185" t="s">
        <v>1749</v>
      </c>
      <c r="B636" s="251" t="s">
        <v>1649</v>
      </c>
      <c r="C636" s="187" t="s">
        <v>331</v>
      </c>
      <c r="D636" s="225" t="s">
        <v>1761</v>
      </c>
      <c r="E636" s="190">
        <v>30</v>
      </c>
      <c r="F636" s="227" t="s">
        <v>20</v>
      </c>
      <c r="G636" s="233">
        <v>44026</v>
      </c>
      <c r="H636" s="252">
        <v>450</v>
      </c>
      <c r="I636" s="188">
        <v>220.34</v>
      </c>
      <c r="J636" s="188">
        <v>109098</v>
      </c>
      <c r="K636" s="232">
        <v>44027</v>
      </c>
      <c r="L636" s="192"/>
      <c r="M636" s="317"/>
      <c r="N636" s="301"/>
      <c r="O636" s="301"/>
    </row>
    <row r="637" spans="1:15" s="250" customFormat="1" ht="13.5" customHeight="1" x14ac:dyDescent="0.3">
      <c r="A637" s="185" t="s">
        <v>1575</v>
      </c>
      <c r="B637" s="251" t="s">
        <v>1600</v>
      </c>
      <c r="C637" s="187" t="s">
        <v>1485</v>
      </c>
      <c r="D637" s="225" t="s">
        <v>1702</v>
      </c>
      <c r="E637" s="190">
        <v>90</v>
      </c>
      <c r="F637" s="227" t="s">
        <v>20</v>
      </c>
      <c r="G637" s="233">
        <v>44026</v>
      </c>
      <c r="H637" s="252">
        <v>400</v>
      </c>
      <c r="I637" s="188">
        <v>460</v>
      </c>
      <c r="J637" s="188">
        <v>184000</v>
      </c>
      <c r="K637" s="232">
        <v>44028</v>
      </c>
      <c r="L637" s="192"/>
      <c r="M637" s="317"/>
      <c r="N637" s="301"/>
      <c r="O637" s="301"/>
    </row>
    <row r="638" spans="1:15" s="250" customFormat="1" ht="13.5" customHeight="1" x14ac:dyDescent="0.3">
      <c r="A638" s="185" t="s">
        <v>1617</v>
      </c>
      <c r="B638" s="251" t="s">
        <v>1325</v>
      </c>
      <c r="C638" s="187" t="s">
        <v>928</v>
      </c>
      <c r="D638" s="225" t="s">
        <v>1652</v>
      </c>
      <c r="E638" s="190">
        <v>90</v>
      </c>
      <c r="F638" s="227" t="s">
        <v>20</v>
      </c>
      <c r="G638" s="233">
        <v>44026</v>
      </c>
      <c r="H638" s="252">
        <v>384</v>
      </c>
      <c r="I638" s="188">
        <v>910</v>
      </c>
      <c r="J638" s="188">
        <v>349440</v>
      </c>
      <c r="K638" s="232">
        <v>44028</v>
      </c>
      <c r="L638" s="192"/>
      <c r="M638" s="317"/>
      <c r="N638" s="301"/>
      <c r="O638" s="301"/>
    </row>
    <row r="639" spans="1:15" s="250" customFormat="1" ht="13.5" customHeight="1" x14ac:dyDescent="0.3">
      <c r="A639" s="185" t="s">
        <v>1661</v>
      </c>
      <c r="B639" s="251" t="s">
        <v>1596</v>
      </c>
      <c r="C639" s="187" t="s">
        <v>664</v>
      </c>
      <c r="D639" s="225" t="s">
        <v>1802</v>
      </c>
      <c r="E639" s="190">
        <v>30</v>
      </c>
      <c r="F639" s="227" t="s">
        <v>20</v>
      </c>
      <c r="G639" s="233">
        <v>44027</v>
      </c>
      <c r="H639" s="252">
        <v>52.51</v>
      </c>
      <c r="I639" s="188">
        <v>280</v>
      </c>
      <c r="J639" s="188">
        <f>+I639*H639</f>
        <v>14702.8</v>
      </c>
      <c r="K639" s="232">
        <v>44028</v>
      </c>
      <c r="L639" s="192"/>
      <c r="M639" s="317"/>
      <c r="N639" s="301"/>
      <c r="O639" s="301"/>
    </row>
    <row r="640" spans="1:15" s="250" customFormat="1" ht="13.5" customHeight="1" x14ac:dyDescent="0.3">
      <c r="A640" s="185" t="s">
        <v>1768</v>
      </c>
      <c r="B640" s="251" t="s">
        <v>1783</v>
      </c>
      <c r="C640" s="187" t="s">
        <v>331</v>
      </c>
      <c r="D640" s="225" t="s">
        <v>1830</v>
      </c>
      <c r="E640" s="190" t="s">
        <v>5</v>
      </c>
      <c r="F640" s="227"/>
      <c r="G640" s="233">
        <v>44027</v>
      </c>
      <c r="H640" s="252">
        <v>792</v>
      </c>
      <c r="I640" s="188">
        <v>359</v>
      </c>
      <c r="J640" s="188">
        <v>284328</v>
      </c>
      <c r="K640" s="232">
        <v>44028</v>
      </c>
      <c r="L640" s="192"/>
      <c r="M640" s="317"/>
      <c r="N640" s="301"/>
      <c r="O640" s="301"/>
    </row>
    <row r="641" spans="1:15" s="250" customFormat="1" ht="13.5" customHeight="1" x14ac:dyDescent="0.3">
      <c r="A641" s="185" t="s">
        <v>1770</v>
      </c>
      <c r="B641" s="251" t="s">
        <v>1784</v>
      </c>
      <c r="C641" s="187" t="s">
        <v>331</v>
      </c>
      <c r="D641" s="225" t="s">
        <v>1831</v>
      </c>
      <c r="E641" s="190" t="s">
        <v>5</v>
      </c>
      <c r="F641" s="227"/>
      <c r="G641" s="233">
        <v>44027</v>
      </c>
      <c r="H641" s="252">
        <v>308</v>
      </c>
      <c r="I641" s="188">
        <v>354</v>
      </c>
      <c r="J641" s="188">
        <v>109032</v>
      </c>
      <c r="K641" s="232">
        <v>44028</v>
      </c>
      <c r="L641" s="192"/>
      <c r="M641" s="317"/>
      <c r="N641" s="301"/>
      <c r="O641" s="301"/>
    </row>
    <row r="642" spans="1:15" s="250" customFormat="1" ht="13.5" customHeight="1" x14ac:dyDescent="0.3">
      <c r="A642" s="185" t="s">
        <v>1773</v>
      </c>
      <c r="B642" s="251" t="s">
        <v>1783</v>
      </c>
      <c r="C642" s="187" t="s">
        <v>331</v>
      </c>
      <c r="D642" s="225" t="s">
        <v>1833</v>
      </c>
      <c r="E642" s="190" t="s">
        <v>5</v>
      </c>
      <c r="F642" s="227"/>
      <c r="G642" s="233">
        <v>44027</v>
      </c>
      <c r="H642" s="252">
        <v>154</v>
      </c>
      <c r="I642" s="188">
        <v>347</v>
      </c>
      <c r="J642" s="188">
        <v>53438</v>
      </c>
      <c r="K642" s="232">
        <v>44028</v>
      </c>
      <c r="L642" s="192"/>
      <c r="M642" s="317"/>
      <c r="N642" s="301"/>
      <c r="O642" s="301"/>
    </row>
    <row r="643" spans="1:15" s="250" customFormat="1" ht="13.5" customHeight="1" x14ac:dyDescent="0.3">
      <c r="A643" s="185" t="s">
        <v>1762</v>
      </c>
      <c r="B643" s="251" t="s">
        <v>1649</v>
      </c>
      <c r="C643" s="187" t="s">
        <v>331</v>
      </c>
      <c r="D643" s="225" t="s">
        <v>1810</v>
      </c>
      <c r="E643" s="190">
        <v>30</v>
      </c>
      <c r="F643" s="227" t="s">
        <v>20</v>
      </c>
      <c r="G643" s="233">
        <v>44029</v>
      </c>
      <c r="H643" s="252">
        <v>500</v>
      </c>
      <c r="I643" s="188">
        <v>220.34</v>
      </c>
      <c r="J643" s="188">
        <f t="shared" ref="J643:J655" si="18">+I643*H643</f>
        <v>110170</v>
      </c>
      <c r="K643" s="232">
        <v>44028</v>
      </c>
      <c r="L643" s="192"/>
      <c r="M643" s="317"/>
      <c r="N643" s="301"/>
      <c r="O643" s="301"/>
    </row>
    <row r="644" spans="1:15" s="250" customFormat="1" ht="13.5" customHeight="1" x14ac:dyDescent="0.3">
      <c r="A644" s="185" t="s">
        <v>1572</v>
      </c>
      <c r="B644" s="251" t="s">
        <v>1598</v>
      </c>
      <c r="C644" s="187" t="s">
        <v>1497</v>
      </c>
      <c r="D644" s="225" t="s">
        <v>1701</v>
      </c>
      <c r="E644" s="190">
        <v>90</v>
      </c>
      <c r="F644" s="227" t="s">
        <v>20</v>
      </c>
      <c r="G644" s="233">
        <v>44029</v>
      </c>
      <c r="H644" s="252">
        <v>11.1815</v>
      </c>
      <c r="I644" s="188">
        <v>9479.9445512677194</v>
      </c>
      <c r="J644" s="188">
        <f t="shared" si="18"/>
        <v>106000</v>
      </c>
      <c r="K644" s="232">
        <v>44028</v>
      </c>
      <c r="L644" s="192"/>
      <c r="M644" s="317"/>
      <c r="N644" s="301"/>
      <c r="O644" s="301"/>
    </row>
    <row r="645" spans="1:15" s="250" customFormat="1" ht="13.5" customHeight="1" x14ac:dyDescent="0.3">
      <c r="A645" s="185" t="s">
        <v>1673</v>
      </c>
      <c r="B645" s="251" t="s">
        <v>1688</v>
      </c>
      <c r="C645" s="187" t="s">
        <v>1689</v>
      </c>
      <c r="D645" s="225" t="s">
        <v>1690</v>
      </c>
      <c r="E645" s="190">
        <v>60</v>
      </c>
      <c r="F645" s="227" t="s">
        <v>20</v>
      </c>
      <c r="G645" s="233">
        <v>44029</v>
      </c>
      <c r="H645" s="252">
        <v>25</v>
      </c>
      <c r="I645" s="188">
        <v>860</v>
      </c>
      <c r="J645" s="188">
        <f t="shared" si="18"/>
        <v>21500</v>
      </c>
      <c r="K645" s="232">
        <v>44028</v>
      </c>
      <c r="L645" s="192"/>
      <c r="M645" s="317"/>
      <c r="N645" s="301"/>
      <c r="O645" s="301"/>
    </row>
    <row r="646" spans="1:15" s="250" customFormat="1" ht="13.5" customHeight="1" x14ac:dyDescent="0.3">
      <c r="A646" s="185" t="s">
        <v>1771</v>
      </c>
      <c r="B646" s="251" t="s">
        <v>1783</v>
      </c>
      <c r="C646" s="187" t="s">
        <v>331</v>
      </c>
      <c r="D646" s="225" t="s">
        <v>1832</v>
      </c>
      <c r="E646" s="190" t="s">
        <v>5</v>
      </c>
      <c r="F646" s="227"/>
      <c r="G646" s="233">
        <v>44033</v>
      </c>
      <c r="H646" s="252">
        <v>154</v>
      </c>
      <c r="I646" s="188">
        <v>347</v>
      </c>
      <c r="J646" s="188">
        <f t="shared" si="18"/>
        <v>53438</v>
      </c>
      <c r="K646" s="232">
        <v>44033</v>
      </c>
      <c r="L646" s="192"/>
      <c r="M646" s="317"/>
      <c r="N646" s="302"/>
      <c r="O646" s="302"/>
    </row>
    <row r="647" spans="1:15" s="250" customFormat="1" ht="13.5" customHeight="1" x14ac:dyDescent="0.3">
      <c r="A647" s="185" t="s">
        <v>1569</v>
      </c>
      <c r="B647" s="251" t="s">
        <v>1326</v>
      </c>
      <c r="C647" s="187" t="s">
        <v>1497</v>
      </c>
      <c r="D647" s="225" t="s">
        <v>1700</v>
      </c>
      <c r="E647" s="190">
        <v>90</v>
      </c>
      <c r="F647" s="227" t="s">
        <v>20</v>
      </c>
      <c r="G647" s="233">
        <v>44036</v>
      </c>
      <c r="H647" s="252">
        <v>400</v>
      </c>
      <c r="I647" s="188">
        <v>467</v>
      </c>
      <c r="J647" s="188">
        <f t="shared" si="18"/>
        <v>186800</v>
      </c>
      <c r="K647" s="232">
        <v>44036</v>
      </c>
      <c r="L647" s="192"/>
      <c r="M647" s="317"/>
      <c r="N647" s="302"/>
      <c r="O647" s="302"/>
    </row>
    <row r="648" spans="1:15" s="250" customFormat="1" ht="13.5" customHeight="1" x14ac:dyDescent="0.3">
      <c r="A648" s="185" t="s">
        <v>1643</v>
      </c>
      <c r="B648" s="251" t="s">
        <v>1325</v>
      </c>
      <c r="C648" s="187" t="s">
        <v>1294</v>
      </c>
      <c r="D648" s="225" t="s">
        <v>1739</v>
      </c>
      <c r="E648" s="190">
        <v>90</v>
      </c>
      <c r="F648" s="227" t="s">
        <v>20</v>
      </c>
      <c r="G648" s="233">
        <v>44036</v>
      </c>
      <c r="H648" s="252">
        <v>691.6</v>
      </c>
      <c r="I648" s="188">
        <v>860</v>
      </c>
      <c r="J648" s="188">
        <f t="shared" si="18"/>
        <v>594776</v>
      </c>
      <c r="K648" s="232">
        <v>44036</v>
      </c>
      <c r="L648" s="192"/>
      <c r="M648" s="317"/>
      <c r="N648" s="302"/>
      <c r="O648" s="302"/>
    </row>
    <row r="649" spans="1:15" s="250" customFormat="1" ht="13.5" customHeight="1" x14ac:dyDescent="0.3">
      <c r="A649" s="185" t="s">
        <v>1769</v>
      </c>
      <c r="B649" s="251" t="s">
        <v>1782</v>
      </c>
      <c r="C649" s="187" t="s">
        <v>331</v>
      </c>
      <c r="D649" s="225" t="s">
        <v>1837</v>
      </c>
      <c r="E649" s="190" t="s">
        <v>5</v>
      </c>
      <c r="F649" s="227"/>
      <c r="G649" s="233">
        <v>44036</v>
      </c>
      <c r="H649" s="252">
        <v>110</v>
      </c>
      <c r="I649" s="188">
        <v>359</v>
      </c>
      <c r="J649" s="188">
        <f t="shared" si="18"/>
        <v>39490</v>
      </c>
      <c r="K649" s="232">
        <v>44036</v>
      </c>
      <c r="L649" s="192"/>
      <c r="M649" s="317"/>
      <c r="N649" s="302"/>
      <c r="O649" s="302"/>
    </row>
    <row r="650" spans="1:15" s="250" customFormat="1" ht="13.5" customHeight="1" x14ac:dyDescent="0.3">
      <c r="A650" s="185" t="s">
        <v>1772</v>
      </c>
      <c r="B650" s="251" t="s">
        <v>1782</v>
      </c>
      <c r="C650" s="187" t="s">
        <v>331</v>
      </c>
      <c r="D650" s="225" t="s">
        <v>1838</v>
      </c>
      <c r="E650" s="190" t="s">
        <v>5</v>
      </c>
      <c r="F650" s="227"/>
      <c r="G650" s="233">
        <v>44036</v>
      </c>
      <c r="H650" s="252">
        <v>396</v>
      </c>
      <c r="I650" s="188">
        <v>360</v>
      </c>
      <c r="J650" s="188">
        <f t="shared" si="18"/>
        <v>142560</v>
      </c>
      <c r="K650" s="232">
        <v>44036</v>
      </c>
      <c r="L650" s="192"/>
      <c r="M650" s="317"/>
      <c r="N650" s="302"/>
      <c r="O650" s="302"/>
    </row>
    <row r="651" spans="1:15" s="250" customFormat="1" ht="13.5" customHeight="1" x14ac:dyDescent="0.3">
      <c r="A651" s="185" t="s">
        <v>1777</v>
      </c>
      <c r="B651" s="251" t="s">
        <v>1785</v>
      </c>
      <c r="C651" s="187" t="s">
        <v>331</v>
      </c>
      <c r="D651" s="225" t="s">
        <v>1835</v>
      </c>
      <c r="E651" s="190">
        <v>30</v>
      </c>
      <c r="F651" s="227" t="s">
        <v>20</v>
      </c>
      <c r="G651" s="233">
        <v>44036</v>
      </c>
      <c r="H651" s="252">
        <v>240.14</v>
      </c>
      <c r="I651" s="188">
        <v>288</v>
      </c>
      <c r="J651" s="188">
        <f t="shared" si="18"/>
        <v>69160.319999999992</v>
      </c>
      <c r="K651" s="232">
        <v>44036</v>
      </c>
      <c r="L651" s="192"/>
      <c r="M651" s="317"/>
      <c r="N651" s="302"/>
      <c r="O651" s="302"/>
    </row>
    <row r="652" spans="1:15" s="250" customFormat="1" ht="13.5" customHeight="1" x14ac:dyDescent="0.3">
      <c r="A652" s="185" t="s">
        <v>1778</v>
      </c>
      <c r="B652" s="251" t="s">
        <v>1785</v>
      </c>
      <c r="C652" s="187" t="s">
        <v>331</v>
      </c>
      <c r="D652" s="225" t="s">
        <v>1834</v>
      </c>
      <c r="E652" s="190">
        <v>30</v>
      </c>
      <c r="F652" s="227" t="s">
        <v>20</v>
      </c>
      <c r="G652" s="233">
        <v>44036</v>
      </c>
      <c r="H652" s="252">
        <v>425.06</v>
      </c>
      <c r="I652" s="188">
        <v>288</v>
      </c>
      <c r="J652" s="188">
        <f t="shared" si="18"/>
        <v>122417.28</v>
      </c>
      <c r="K652" s="232">
        <v>44036</v>
      </c>
      <c r="L652" s="192"/>
      <c r="M652" s="317"/>
      <c r="N652" s="302"/>
      <c r="O652" s="302"/>
    </row>
    <row r="653" spans="1:15" s="250" customFormat="1" ht="13.5" customHeight="1" x14ac:dyDescent="0.3">
      <c r="A653" s="185" t="s">
        <v>1779</v>
      </c>
      <c r="B653" s="251" t="s">
        <v>1785</v>
      </c>
      <c r="C653" s="187" t="s">
        <v>331</v>
      </c>
      <c r="D653" s="225" t="s">
        <v>1843</v>
      </c>
      <c r="E653" s="190">
        <v>30</v>
      </c>
      <c r="F653" s="227" t="s">
        <v>20</v>
      </c>
      <c r="G653" s="233">
        <v>44040</v>
      </c>
      <c r="H653" s="252">
        <v>106.34</v>
      </c>
      <c r="I653" s="188">
        <v>288</v>
      </c>
      <c r="J653" s="188">
        <f t="shared" si="18"/>
        <v>30625.920000000002</v>
      </c>
      <c r="K653" s="232">
        <v>44036</v>
      </c>
      <c r="L653" s="192"/>
      <c r="M653" s="317"/>
      <c r="N653" s="302"/>
      <c r="O653" s="302"/>
    </row>
    <row r="654" spans="1:15" s="250" customFormat="1" ht="13.5" customHeight="1" x14ac:dyDescent="0.3">
      <c r="A654" s="185" t="s">
        <v>1494</v>
      </c>
      <c r="B654" s="251" t="s">
        <v>1409</v>
      </c>
      <c r="C654" s="187" t="s">
        <v>1433</v>
      </c>
      <c r="D654" s="225" t="s">
        <v>552</v>
      </c>
      <c r="E654" s="190">
        <v>150</v>
      </c>
      <c r="F654" s="227" t="s">
        <v>20</v>
      </c>
      <c r="G654" s="233">
        <v>44043</v>
      </c>
      <c r="H654" s="252">
        <v>6177.28</v>
      </c>
      <c r="I654" s="188">
        <v>262.8</v>
      </c>
      <c r="J654" s="188">
        <f t="shared" si="18"/>
        <v>1623389.1839999999</v>
      </c>
      <c r="K654" s="232">
        <v>44043</v>
      </c>
      <c r="L654" s="192" t="s">
        <v>987</v>
      </c>
      <c r="M654" s="317"/>
      <c r="N654" s="303"/>
      <c r="O654" s="303"/>
    </row>
    <row r="655" spans="1:15" s="250" customFormat="1" ht="13.5" customHeight="1" x14ac:dyDescent="0.3">
      <c r="A655" s="185" t="s">
        <v>1495</v>
      </c>
      <c r="B655" s="251" t="s">
        <v>1349</v>
      </c>
      <c r="C655" s="187" t="s">
        <v>1433</v>
      </c>
      <c r="D655" s="225" t="s">
        <v>552</v>
      </c>
      <c r="E655" s="190">
        <v>150</v>
      </c>
      <c r="F655" s="227" t="s">
        <v>20</v>
      </c>
      <c r="G655" s="233">
        <v>44043</v>
      </c>
      <c r="H655" s="252">
        <v>2285.0300000000002</v>
      </c>
      <c r="I655" s="188">
        <v>259.2</v>
      </c>
      <c r="J655" s="188">
        <f t="shared" si="18"/>
        <v>592279.77600000007</v>
      </c>
      <c r="K655" s="232">
        <v>44043</v>
      </c>
      <c r="L655" s="192" t="s">
        <v>987</v>
      </c>
      <c r="M655" s="317"/>
      <c r="N655" s="303"/>
      <c r="O655" s="303"/>
    </row>
    <row r="656" spans="1:15" s="250" customFormat="1" ht="13.5" customHeight="1" x14ac:dyDescent="0.3">
      <c r="A656" s="185" t="s">
        <v>1512</v>
      </c>
      <c r="B656" s="251" t="s">
        <v>1349</v>
      </c>
      <c r="C656" s="187" t="s">
        <v>928</v>
      </c>
      <c r="D656" s="225" t="s">
        <v>552</v>
      </c>
      <c r="E656" s="190">
        <v>150</v>
      </c>
      <c r="F656" s="227" t="s">
        <v>20</v>
      </c>
      <c r="G656" s="233">
        <v>44046</v>
      </c>
      <c r="H656" s="252">
        <v>5400</v>
      </c>
      <c r="I656" s="188">
        <v>260</v>
      </c>
      <c r="J656" s="188">
        <v>1404000</v>
      </c>
      <c r="K656" s="232">
        <v>43924</v>
      </c>
      <c r="L656" s="192" t="s">
        <v>1874</v>
      </c>
      <c r="M656" s="317"/>
      <c r="N656" s="303"/>
      <c r="O656" s="303"/>
    </row>
    <row r="657" spans="1:15" s="250" customFormat="1" ht="13.5" customHeight="1" x14ac:dyDescent="0.3">
      <c r="A657" s="185" t="s">
        <v>1611</v>
      </c>
      <c r="B657" s="251" t="s">
        <v>1595</v>
      </c>
      <c r="C657" s="187" t="s">
        <v>27</v>
      </c>
      <c r="D657" s="225" t="s">
        <v>552</v>
      </c>
      <c r="E657" s="190">
        <v>150</v>
      </c>
      <c r="F657" s="227" t="s">
        <v>20</v>
      </c>
      <c r="G657" s="233">
        <v>44046</v>
      </c>
      <c r="H657" s="252">
        <v>6900</v>
      </c>
      <c r="I657" s="188">
        <v>125</v>
      </c>
      <c r="J657" s="188">
        <v>862500</v>
      </c>
      <c r="K657" s="232">
        <v>43924</v>
      </c>
      <c r="L657" s="192" t="s">
        <v>1874</v>
      </c>
      <c r="M657" s="317"/>
      <c r="N657" s="303"/>
      <c r="O657" s="303"/>
    </row>
    <row r="658" spans="1:15" s="250" customFormat="1" ht="13.5" customHeight="1" x14ac:dyDescent="0.3">
      <c r="A658" s="185" t="s">
        <v>1612</v>
      </c>
      <c r="B658" s="251" t="s">
        <v>1387</v>
      </c>
      <c r="C658" s="187" t="s">
        <v>27</v>
      </c>
      <c r="D658" s="225" t="s">
        <v>552</v>
      </c>
      <c r="E658" s="190">
        <v>150</v>
      </c>
      <c r="F658" s="227" t="s">
        <v>20</v>
      </c>
      <c r="G658" s="233">
        <v>44046</v>
      </c>
      <c r="H658" s="252">
        <v>7000</v>
      </c>
      <c r="I658" s="188">
        <v>324</v>
      </c>
      <c r="J658" s="188">
        <v>2268000</v>
      </c>
      <c r="K658" s="232">
        <v>43924</v>
      </c>
      <c r="L658" s="192" t="s">
        <v>1874</v>
      </c>
      <c r="M658" s="317"/>
      <c r="N658" s="303"/>
      <c r="O658" s="303"/>
    </row>
    <row r="659" spans="1:15" s="250" customFormat="1" ht="13.5" customHeight="1" x14ac:dyDescent="0.3">
      <c r="A659" s="185" t="s">
        <v>514</v>
      </c>
      <c r="B659" s="251" t="s">
        <v>1595</v>
      </c>
      <c r="C659" s="187" t="s">
        <v>27</v>
      </c>
      <c r="D659" s="225" t="s">
        <v>552</v>
      </c>
      <c r="E659" s="190"/>
      <c r="F659" s="227"/>
      <c r="G659" s="233">
        <v>44046</v>
      </c>
      <c r="H659" s="252">
        <v>5440</v>
      </c>
      <c r="I659" s="188">
        <v>-5</v>
      </c>
      <c r="J659" s="188">
        <v>-27200</v>
      </c>
      <c r="K659" s="232">
        <v>43924</v>
      </c>
      <c r="L659" s="192" t="s">
        <v>1874</v>
      </c>
      <c r="M659" s="317"/>
      <c r="N659" s="303"/>
      <c r="O659" s="303"/>
    </row>
    <row r="660" spans="1:15" s="250" customFormat="1" ht="13.5" customHeight="1" x14ac:dyDescent="0.3">
      <c r="A660" s="185" t="s">
        <v>514</v>
      </c>
      <c r="B660" s="251" t="s">
        <v>1387</v>
      </c>
      <c r="C660" s="187" t="s">
        <v>27</v>
      </c>
      <c r="D660" s="225" t="s">
        <v>552</v>
      </c>
      <c r="E660" s="190"/>
      <c r="F660" s="227"/>
      <c r="G660" s="233">
        <v>44046</v>
      </c>
      <c r="H660" s="252">
        <v>1000</v>
      </c>
      <c r="I660" s="188">
        <v>-7</v>
      </c>
      <c r="J660" s="188">
        <v>-7000</v>
      </c>
      <c r="K660" s="232">
        <v>43924</v>
      </c>
      <c r="L660" s="192" t="s">
        <v>1874</v>
      </c>
      <c r="M660" s="317"/>
      <c r="N660" s="303"/>
      <c r="O660" s="303"/>
    </row>
    <row r="661" spans="1:15" s="250" customFormat="1" ht="13.5" customHeight="1" x14ac:dyDescent="0.3">
      <c r="A661" s="185" t="s">
        <v>1564</v>
      </c>
      <c r="B661" s="251" t="s">
        <v>1349</v>
      </c>
      <c r="C661" s="187" t="s">
        <v>27</v>
      </c>
      <c r="D661" s="225" t="s">
        <v>552</v>
      </c>
      <c r="E661" s="190">
        <v>150</v>
      </c>
      <c r="F661" s="227" t="s">
        <v>20</v>
      </c>
      <c r="G661" s="233">
        <v>44046</v>
      </c>
      <c r="H661" s="252">
        <v>4000</v>
      </c>
      <c r="I661" s="188">
        <v>272</v>
      </c>
      <c r="J661" s="188">
        <v>1088000</v>
      </c>
      <c r="K661" s="232">
        <v>31.03</v>
      </c>
      <c r="L661" s="192" t="s">
        <v>1874</v>
      </c>
      <c r="M661" s="317"/>
      <c r="N661" s="303"/>
      <c r="O661" s="303"/>
    </row>
    <row r="662" spans="1:15" s="250" customFormat="1" ht="13.5" customHeight="1" x14ac:dyDescent="0.3">
      <c r="A662" s="185" t="s">
        <v>1764</v>
      </c>
      <c r="B662" s="251" t="s">
        <v>1649</v>
      </c>
      <c r="C662" s="187" t="s">
        <v>331</v>
      </c>
      <c r="D662" s="225" t="s">
        <v>1815</v>
      </c>
      <c r="E662" s="190">
        <v>30</v>
      </c>
      <c r="F662" s="227" t="s">
        <v>20</v>
      </c>
      <c r="G662" s="233">
        <v>44042</v>
      </c>
      <c r="H662" s="252">
        <v>500</v>
      </c>
      <c r="I662" s="188">
        <v>220.34</v>
      </c>
      <c r="J662" s="188">
        <f t="shared" ref="J662:J672" si="19">+I662*H662</f>
        <v>110170</v>
      </c>
      <c r="K662" s="232">
        <v>44048</v>
      </c>
      <c r="L662" s="192"/>
      <c r="M662" s="317"/>
      <c r="N662" s="304"/>
      <c r="O662" s="304"/>
    </row>
    <row r="663" spans="1:15" s="250" customFormat="1" ht="13.5" customHeight="1" x14ac:dyDescent="0.3">
      <c r="A663" s="185" t="s">
        <v>514</v>
      </c>
      <c r="B663" s="251" t="s">
        <v>1649</v>
      </c>
      <c r="C663" s="187" t="s">
        <v>331</v>
      </c>
      <c r="D663" s="225" t="s">
        <v>1823</v>
      </c>
      <c r="E663" s="190"/>
      <c r="F663" s="227"/>
      <c r="G663" s="233">
        <v>44042</v>
      </c>
      <c r="H663" s="252">
        <v>500</v>
      </c>
      <c r="I663" s="188">
        <v>-5.23</v>
      </c>
      <c r="J663" s="188">
        <f t="shared" si="19"/>
        <v>-2615</v>
      </c>
      <c r="K663" s="232">
        <v>44048</v>
      </c>
      <c r="L663" s="192"/>
      <c r="M663" s="317"/>
      <c r="N663" s="304"/>
      <c r="O663" s="304"/>
    </row>
    <row r="664" spans="1:15" s="250" customFormat="1" ht="13.5" customHeight="1" x14ac:dyDescent="0.3">
      <c r="A664" s="185" t="s">
        <v>514</v>
      </c>
      <c r="B664" s="251" t="s">
        <v>1649</v>
      </c>
      <c r="C664" s="187" t="s">
        <v>331</v>
      </c>
      <c r="D664" s="225" t="s">
        <v>1824</v>
      </c>
      <c r="E664" s="190"/>
      <c r="F664" s="227"/>
      <c r="G664" s="233">
        <v>44042</v>
      </c>
      <c r="H664" s="252">
        <v>350</v>
      </c>
      <c r="I664" s="188">
        <v>-5.23</v>
      </c>
      <c r="J664" s="188">
        <f t="shared" si="19"/>
        <v>-1830.5000000000002</v>
      </c>
      <c r="K664" s="232">
        <v>44048</v>
      </c>
      <c r="L664" s="192"/>
      <c r="M664" s="317"/>
      <c r="N664" s="304"/>
      <c r="O664" s="304"/>
    </row>
    <row r="665" spans="1:15" s="250" customFormat="1" ht="13.5" customHeight="1" x14ac:dyDescent="0.3">
      <c r="A665" s="185" t="s">
        <v>514</v>
      </c>
      <c r="B665" s="251" t="s">
        <v>1649</v>
      </c>
      <c r="C665" s="187" t="s">
        <v>331</v>
      </c>
      <c r="D665" s="225" t="s">
        <v>1825</v>
      </c>
      <c r="E665" s="190"/>
      <c r="F665" s="227"/>
      <c r="G665" s="233">
        <v>44042</v>
      </c>
      <c r="H665" s="252">
        <v>350</v>
      </c>
      <c r="I665" s="188">
        <v>-5.23</v>
      </c>
      <c r="J665" s="188">
        <f t="shared" si="19"/>
        <v>-1830.5000000000002</v>
      </c>
      <c r="K665" s="232">
        <v>44048</v>
      </c>
      <c r="L665" s="192"/>
      <c r="M665" s="317"/>
      <c r="N665" s="304"/>
      <c r="O665" s="304"/>
    </row>
    <row r="666" spans="1:15" s="250" customFormat="1" ht="13.5" customHeight="1" x14ac:dyDescent="0.3">
      <c r="A666" s="185" t="s">
        <v>514</v>
      </c>
      <c r="B666" s="251" t="s">
        <v>1649</v>
      </c>
      <c r="C666" s="187" t="s">
        <v>331</v>
      </c>
      <c r="D666" s="225" t="s">
        <v>1826</v>
      </c>
      <c r="E666" s="190"/>
      <c r="F666" s="227"/>
      <c r="G666" s="233">
        <v>44042</v>
      </c>
      <c r="H666" s="252">
        <v>75</v>
      </c>
      <c r="I666" s="188">
        <v>-22.1</v>
      </c>
      <c r="J666" s="188">
        <f t="shared" si="19"/>
        <v>-1657.5</v>
      </c>
      <c r="K666" s="232">
        <v>44048</v>
      </c>
      <c r="L666" s="192"/>
      <c r="M666" s="317"/>
      <c r="N666" s="304"/>
      <c r="O666" s="304"/>
    </row>
    <row r="667" spans="1:15" s="250" customFormat="1" ht="13.5" customHeight="1" x14ac:dyDescent="0.3">
      <c r="A667" s="185" t="s">
        <v>514</v>
      </c>
      <c r="B667" s="251" t="s">
        <v>1649</v>
      </c>
      <c r="C667" s="187" t="s">
        <v>331</v>
      </c>
      <c r="D667" s="225" t="s">
        <v>1827</v>
      </c>
      <c r="E667" s="190"/>
      <c r="F667" s="227"/>
      <c r="G667" s="233">
        <v>44042</v>
      </c>
      <c r="H667" s="252">
        <v>200</v>
      </c>
      <c r="I667" s="188">
        <v>-22.1</v>
      </c>
      <c r="J667" s="188">
        <f t="shared" si="19"/>
        <v>-4420</v>
      </c>
      <c r="K667" s="232">
        <v>44048</v>
      </c>
      <c r="L667" s="192"/>
      <c r="M667" s="317"/>
      <c r="N667" s="304"/>
      <c r="O667" s="304"/>
    </row>
    <row r="668" spans="1:15" s="250" customFormat="1" ht="13.5" customHeight="1" x14ac:dyDescent="0.3">
      <c r="A668" s="185" t="s">
        <v>514</v>
      </c>
      <c r="B668" s="251" t="s">
        <v>1649</v>
      </c>
      <c r="C668" s="187" t="s">
        <v>331</v>
      </c>
      <c r="D668" s="225" t="s">
        <v>1828</v>
      </c>
      <c r="E668" s="190"/>
      <c r="F668" s="227"/>
      <c r="G668" s="233">
        <v>44042</v>
      </c>
      <c r="H668" s="252">
        <v>250</v>
      </c>
      <c r="I668" s="188">
        <v>-22.1</v>
      </c>
      <c r="J668" s="188">
        <f t="shared" si="19"/>
        <v>-5525</v>
      </c>
      <c r="K668" s="232">
        <v>44048</v>
      </c>
      <c r="L668" s="192"/>
      <c r="M668" s="317"/>
      <c r="N668" s="304"/>
      <c r="O668" s="304"/>
    </row>
    <row r="669" spans="1:15" s="250" customFormat="1" ht="13.5" customHeight="1" x14ac:dyDescent="0.3">
      <c r="A669" s="185" t="s">
        <v>1662</v>
      </c>
      <c r="B669" s="251" t="s">
        <v>1596</v>
      </c>
      <c r="C669" s="187" t="s">
        <v>664</v>
      </c>
      <c r="D669" s="225" t="s">
        <v>1851</v>
      </c>
      <c r="E669" s="190">
        <v>30</v>
      </c>
      <c r="F669" s="227" t="s">
        <v>20</v>
      </c>
      <c r="G669" s="233">
        <v>44050</v>
      </c>
      <c r="H669" s="252">
        <v>52</v>
      </c>
      <c r="I669" s="188">
        <v>280</v>
      </c>
      <c r="J669" s="188">
        <f t="shared" si="19"/>
        <v>14560</v>
      </c>
      <c r="K669" s="232">
        <v>44054</v>
      </c>
      <c r="L669" s="192"/>
      <c r="M669" s="317"/>
      <c r="N669" s="304"/>
      <c r="O669" s="304"/>
    </row>
    <row r="670" spans="1:15" s="250" customFormat="1" ht="13.5" customHeight="1" x14ac:dyDescent="0.3">
      <c r="A670" s="185" t="s">
        <v>1712</v>
      </c>
      <c r="B670" s="251" t="s">
        <v>1292</v>
      </c>
      <c r="C670" s="187" t="s">
        <v>280</v>
      </c>
      <c r="D670" s="225" t="s">
        <v>1737</v>
      </c>
      <c r="E670" s="190">
        <v>90</v>
      </c>
      <c r="F670" s="227" t="s">
        <v>20</v>
      </c>
      <c r="G670" s="233">
        <v>44054</v>
      </c>
      <c r="H670" s="252">
        <v>1144</v>
      </c>
      <c r="I670" s="188">
        <v>108</v>
      </c>
      <c r="J670" s="188">
        <f t="shared" si="19"/>
        <v>123552</v>
      </c>
      <c r="K670" s="232">
        <v>44054</v>
      </c>
      <c r="L670" s="192"/>
      <c r="M670" s="317"/>
      <c r="N670" s="304"/>
      <c r="O670" s="304"/>
    </row>
    <row r="671" spans="1:15" s="250" customFormat="1" ht="13.5" customHeight="1" x14ac:dyDescent="0.3">
      <c r="A671" s="185" t="s">
        <v>1752</v>
      </c>
      <c r="B671" s="251" t="s">
        <v>1649</v>
      </c>
      <c r="C671" s="187" t="s">
        <v>331</v>
      </c>
      <c r="D671" s="225" t="s">
        <v>1853</v>
      </c>
      <c r="E671" s="190">
        <v>30</v>
      </c>
      <c r="F671" s="227" t="s">
        <v>20</v>
      </c>
      <c r="G671" s="233">
        <v>44059</v>
      </c>
      <c r="H671" s="252">
        <v>275</v>
      </c>
      <c r="I671" s="188">
        <v>220.34</v>
      </c>
      <c r="J671" s="188">
        <f t="shared" si="19"/>
        <v>60593.5</v>
      </c>
      <c r="K671" s="232">
        <v>44057</v>
      </c>
      <c r="L671" s="192"/>
      <c r="M671" s="317"/>
      <c r="N671" s="304"/>
      <c r="O671" s="304"/>
    </row>
    <row r="672" spans="1:15" s="250" customFormat="1" ht="13.5" customHeight="1" x14ac:dyDescent="0.3">
      <c r="A672" s="185" t="s">
        <v>1618</v>
      </c>
      <c r="B672" s="251" t="s">
        <v>1325</v>
      </c>
      <c r="C672" s="187" t="s">
        <v>928</v>
      </c>
      <c r="D672" s="225" t="s">
        <v>1703</v>
      </c>
      <c r="E672" s="190">
        <v>90</v>
      </c>
      <c r="F672" s="227" t="s">
        <v>20</v>
      </c>
      <c r="G672" s="233">
        <v>44054</v>
      </c>
      <c r="H672" s="252">
        <v>384</v>
      </c>
      <c r="I672" s="188">
        <v>910</v>
      </c>
      <c r="J672" s="188">
        <f t="shared" si="19"/>
        <v>349440</v>
      </c>
      <c r="K672" s="232">
        <v>44057</v>
      </c>
      <c r="L672" s="192"/>
      <c r="M672" s="317"/>
      <c r="N672" s="304"/>
      <c r="O672" s="304"/>
    </row>
    <row r="673" spans="1:15" s="250" customFormat="1" ht="13.5" customHeight="1" x14ac:dyDescent="0.3">
      <c r="A673" s="185" t="s">
        <v>1584</v>
      </c>
      <c r="B673" s="251" t="s">
        <v>1295</v>
      </c>
      <c r="C673" s="187" t="s">
        <v>1497</v>
      </c>
      <c r="D673" s="225" t="s">
        <v>1844</v>
      </c>
      <c r="E673" s="190">
        <v>90</v>
      </c>
      <c r="F673" s="227" t="s">
        <v>20</v>
      </c>
      <c r="G673" s="233">
        <v>44056</v>
      </c>
      <c r="H673" s="252">
        <v>200</v>
      </c>
      <c r="I673" s="188">
        <v>616</v>
      </c>
      <c r="J673" s="188">
        <v>123200</v>
      </c>
      <c r="K673" s="232">
        <v>44057</v>
      </c>
      <c r="L673" s="192"/>
      <c r="M673" s="317"/>
      <c r="N673" s="304"/>
      <c r="O673" s="304"/>
    </row>
    <row r="674" spans="1:15" s="250" customFormat="1" ht="13.5" customHeight="1" x14ac:dyDescent="0.3">
      <c r="A674" s="185" t="s">
        <v>1732</v>
      </c>
      <c r="B674" s="251" t="s">
        <v>502</v>
      </c>
      <c r="C674" s="187" t="s">
        <v>1497</v>
      </c>
      <c r="D674" s="225" t="s">
        <v>1730</v>
      </c>
      <c r="E674" s="190">
        <v>90</v>
      </c>
      <c r="F674" s="227" t="s">
        <v>20</v>
      </c>
      <c r="G674" s="233">
        <v>44055</v>
      </c>
      <c r="H674" s="252">
        <v>324</v>
      </c>
      <c r="I674" s="188">
        <v>510</v>
      </c>
      <c r="J674" s="188">
        <v>165240</v>
      </c>
      <c r="K674" s="232">
        <v>44057</v>
      </c>
      <c r="L674" s="192"/>
      <c r="M674" s="317"/>
      <c r="N674" s="304"/>
      <c r="O674" s="304"/>
    </row>
    <row r="675" spans="1:15" s="250" customFormat="1" ht="13.5" customHeight="1" x14ac:dyDescent="0.3">
      <c r="A675" s="185" t="s">
        <v>1633</v>
      </c>
      <c r="B675" s="251" t="s">
        <v>653</v>
      </c>
      <c r="C675" s="187" t="s">
        <v>1497</v>
      </c>
      <c r="D675" s="225" t="s">
        <v>1793</v>
      </c>
      <c r="E675" s="190">
        <v>90</v>
      </c>
      <c r="F675" s="227" t="s">
        <v>20</v>
      </c>
      <c r="G675" s="233">
        <v>44056</v>
      </c>
      <c r="H675" s="252">
        <v>495</v>
      </c>
      <c r="I675" s="188">
        <v>703</v>
      </c>
      <c r="J675" s="188">
        <v>347985</v>
      </c>
      <c r="K675" s="232">
        <v>44057</v>
      </c>
      <c r="L675" s="192"/>
      <c r="M675" s="317"/>
      <c r="N675" s="304"/>
      <c r="O675" s="304"/>
    </row>
    <row r="676" spans="1:15" s="250" customFormat="1" ht="13.5" customHeight="1" x14ac:dyDescent="0.3">
      <c r="A676" s="185" t="s">
        <v>1634</v>
      </c>
      <c r="B676" s="251" t="s">
        <v>653</v>
      </c>
      <c r="C676" s="187" t="s">
        <v>1497</v>
      </c>
      <c r="D676" s="225" t="s">
        <v>1794</v>
      </c>
      <c r="E676" s="190">
        <v>90</v>
      </c>
      <c r="F676" s="227" t="s">
        <v>20</v>
      </c>
      <c r="G676" s="233">
        <v>44056</v>
      </c>
      <c r="H676" s="252">
        <v>165</v>
      </c>
      <c r="I676" s="188">
        <v>712</v>
      </c>
      <c r="J676" s="188">
        <v>117480</v>
      </c>
      <c r="K676" s="232">
        <v>44057</v>
      </c>
      <c r="L676" s="192"/>
      <c r="M676" s="317"/>
      <c r="N676" s="304"/>
      <c r="O676" s="304"/>
    </row>
    <row r="677" spans="1:15" s="250" customFormat="1" ht="13.5" customHeight="1" x14ac:dyDescent="0.3">
      <c r="A677" s="185" t="s">
        <v>1570</v>
      </c>
      <c r="B677" s="251" t="s">
        <v>1326</v>
      </c>
      <c r="C677" s="187" t="s">
        <v>1497</v>
      </c>
      <c r="D677" s="225" t="s">
        <v>1727</v>
      </c>
      <c r="E677" s="190">
        <v>90</v>
      </c>
      <c r="F677" s="227" t="s">
        <v>20</v>
      </c>
      <c r="G677" s="233">
        <v>44058</v>
      </c>
      <c r="H677" s="252">
        <v>700</v>
      </c>
      <c r="I677" s="188">
        <v>467</v>
      </c>
      <c r="J677" s="188">
        <v>326900</v>
      </c>
      <c r="K677" s="232">
        <v>44057</v>
      </c>
      <c r="L677" s="192"/>
      <c r="M677" s="317"/>
      <c r="N677" s="304"/>
      <c r="O677" s="304"/>
    </row>
    <row r="678" spans="1:15" s="250" customFormat="1" ht="13.5" customHeight="1" x14ac:dyDescent="0.3">
      <c r="A678" s="185" t="s">
        <v>1585</v>
      </c>
      <c r="B678" s="251" t="s">
        <v>1295</v>
      </c>
      <c r="C678" s="187" t="s">
        <v>1497</v>
      </c>
      <c r="D678" s="225" t="s">
        <v>1791</v>
      </c>
      <c r="E678" s="190">
        <v>90</v>
      </c>
      <c r="F678" s="227" t="s">
        <v>20</v>
      </c>
      <c r="G678" s="233">
        <v>44060</v>
      </c>
      <c r="H678" s="252">
        <v>400</v>
      </c>
      <c r="I678" s="188">
        <v>639</v>
      </c>
      <c r="J678" s="188">
        <v>255600</v>
      </c>
      <c r="K678" s="232">
        <v>44057</v>
      </c>
      <c r="L678" s="192"/>
      <c r="M678" s="317"/>
      <c r="N678" s="304"/>
      <c r="O678" s="304"/>
    </row>
    <row r="679" spans="1:15" s="250" customFormat="1" ht="13.5" customHeight="1" x14ac:dyDescent="0.3">
      <c r="A679" s="185" t="s">
        <v>1818</v>
      </c>
      <c r="B679" s="251" t="s">
        <v>1349</v>
      </c>
      <c r="C679" s="187" t="s">
        <v>1036</v>
      </c>
      <c r="D679" s="225" t="s">
        <v>552</v>
      </c>
      <c r="E679" s="190">
        <v>150</v>
      </c>
      <c r="F679" s="227" t="s">
        <v>20</v>
      </c>
      <c r="G679" s="233">
        <v>44192</v>
      </c>
      <c r="H679" s="252">
        <v>3243</v>
      </c>
      <c r="I679" s="188">
        <v>254</v>
      </c>
      <c r="J679" s="188">
        <f>+I679*H679</f>
        <v>823722</v>
      </c>
      <c r="K679" s="232">
        <v>44060</v>
      </c>
      <c r="L679" s="192" t="s">
        <v>1912</v>
      </c>
      <c r="M679" s="317"/>
      <c r="N679" s="304"/>
      <c r="O679" s="304"/>
    </row>
    <row r="680" spans="1:15" s="250" customFormat="1" ht="13.5" customHeight="1" x14ac:dyDescent="0.3">
      <c r="A680" s="185" t="s">
        <v>1631</v>
      </c>
      <c r="B680" s="251" t="s">
        <v>653</v>
      </c>
      <c r="C680" s="187" t="s">
        <v>1497</v>
      </c>
      <c r="D680" s="225" t="s">
        <v>1735</v>
      </c>
      <c r="E680" s="190">
        <v>90</v>
      </c>
      <c r="F680" s="227" t="s">
        <v>20</v>
      </c>
      <c r="G680" s="233">
        <v>44060</v>
      </c>
      <c r="H680" s="252">
        <v>48</v>
      </c>
      <c r="I680" s="188">
        <v>699</v>
      </c>
      <c r="J680" s="188">
        <f>+I680*H680</f>
        <v>33552</v>
      </c>
      <c r="K680" s="232">
        <v>44062</v>
      </c>
      <c r="L680" s="192"/>
      <c r="M680" s="317"/>
      <c r="N680" s="304"/>
      <c r="O680" s="304"/>
    </row>
    <row r="681" spans="1:15" s="250" customFormat="1" ht="13.5" customHeight="1" x14ac:dyDescent="0.3">
      <c r="A681" s="185" t="s">
        <v>1638</v>
      </c>
      <c r="B681" s="251" t="s">
        <v>1326</v>
      </c>
      <c r="C681" s="187" t="s">
        <v>816</v>
      </c>
      <c r="D681" s="225" t="s">
        <v>1850</v>
      </c>
      <c r="E681" s="190">
        <v>90</v>
      </c>
      <c r="F681" s="227" t="s">
        <v>20</v>
      </c>
      <c r="G681" s="233">
        <v>44062</v>
      </c>
      <c r="H681" s="252">
        <v>405</v>
      </c>
      <c r="I681" s="188">
        <v>442.3</v>
      </c>
      <c r="J681" s="188">
        <f>+I681*H681</f>
        <v>179131.5</v>
      </c>
      <c r="K681" s="232">
        <v>44064</v>
      </c>
      <c r="L681" s="192"/>
      <c r="M681" s="317"/>
      <c r="N681" s="304"/>
      <c r="O681" s="304"/>
    </row>
    <row r="682" spans="1:15" s="250" customFormat="1" ht="13.5" customHeight="1" x14ac:dyDescent="0.3">
      <c r="A682" s="185" t="s">
        <v>1640</v>
      </c>
      <c r="B682" s="251" t="s">
        <v>1295</v>
      </c>
      <c r="C682" s="187" t="s">
        <v>1651</v>
      </c>
      <c r="D682" s="225" t="s">
        <v>1736</v>
      </c>
      <c r="E682" s="190">
        <v>90</v>
      </c>
      <c r="F682" s="227" t="s">
        <v>20</v>
      </c>
      <c r="G682" s="233">
        <v>44063</v>
      </c>
      <c r="H682" s="252">
        <v>155</v>
      </c>
      <c r="I682" s="188">
        <v>630</v>
      </c>
      <c r="J682" s="188">
        <f>+I682*H682</f>
        <v>97650</v>
      </c>
      <c r="K682" s="232">
        <v>44064</v>
      </c>
      <c r="L682" s="192"/>
      <c r="M682" s="317"/>
      <c r="N682" s="304"/>
      <c r="O682" s="304"/>
    </row>
    <row r="683" spans="1:15" s="250" customFormat="1" ht="13.5" customHeight="1" x14ac:dyDescent="0.3">
      <c r="A683" s="185" t="s">
        <v>1713</v>
      </c>
      <c r="B683" s="251" t="s">
        <v>1292</v>
      </c>
      <c r="C683" s="187" t="s">
        <v>280</v>
      </c>
      <c r="D683" s="225" t="s">
        <v>1738</v>
      </c>
      <c r="E683" s="190">
        <v>90</v>
      </c>
      <c r="F683" s="227" t="s">
        <v>20</v>
      </c>
      <c r="G683" s="233">
        <v>44063</v>
      </c>
      <c r="H683" s="252">
        <v>858</v>
      </c>
      <c r="I683" s="188">
        <v>108</v>
      </c>
      <c r="J683" s="188">
        <f>+I683*H683</f>
        <v>92664</v>
      </c>
      <c r="K683" s="232">
        <v>44064</v>
      </c>
      <c r="L683" s="192"/>
      <c r="M683" s="317"/>
      <c r="N683" s="304"/>
      <c r="O683" s="304"/>
    </row>
    <row r="684" spans="1:15" s="250" customFormat="1" ht="13.5" customHeight="1" x14ac:dyDescent="0.3">
      <c r="A684" s="185" t="s">
        <v>1751</v>
      </c>
      <c r="B684" s="251" t="s">
        <v>1650</v>
      </c>
      <c r="C684" s="187" t="s">
        <v>331</v>
      </c>
      <c r="D684" s="225" t="s">
        <v>1852</v>
      </c>
      <c r="E684" s="190">
        <v>30</v>
      </c>
      <c r="F684" s="227" t="s">
        <v>20</v>
      </c>
      <c r="G684" s="233">
        <v>44067</v>
      </c>
      <c r="H684" s="252">
        <v>432</v>
      </c>
      <c r="I684" s="188">
        <v>220.34</v>
      </c>
      <c r="J684" s="188">
        <v>95186.880000000005</v>
      </c>
      <c r="K684" s="232">
        <v>44067</v>
      </c>
      <c r="L684" s="192"/>
      <c r="M684" s="317"/>
      <c r="N684" s="316"/>
      <c r="O684" s="316"/>
    </row>
    <row r="685" spans="1:15" s="250" customFormat="1" ht="13.5" customHeight="1" x14ac:dyDescent="0.3">
      <c r="A685" s="185" t="s">
        <v>1939</v>
      </c>
      <c r="B685" s="251" t="s">
        <v>1782</v>
      </c>
      <c r="C685" s="187" t="s">
        <v>331</v>
      </c>
      <c r="D685" s="225" t="s">
        <v>1941</v>
      </c>
      <c r="E685" s="190" t="s">
        <v>5</v>
      </c>
      <c r="F685" s="227"/>
      <c r="G685" s="233">
        <v>44064</v>
      </c>
      <c r="H685" s="252">
        <v>748</v>
      </c>
      <c r="I685" s="188">
        <v>372</v>
      </c>
      <c r="J685" s="188">
        <v>278256</v>
      </c>
      <c r="K685" s="232">
        <v>44067</v>
      </c>
      <c r="L685" s="192"/>
      <c r="M685" s="317"/>
      <c r="N685" s="316"/>
      <c r="O685" s="316"/>
    </row>
    <row r="686" spans="1:15" s="250" customFormat="1" ht="13.5" customHeight="1" x14ac:dyDescent="0.3">
      <c r="A686" s="185" t="s">
        <v>1586</v>
      </c>
      <c r="B686" s="251" t="s">
        <v>502</v>
      </c>
      <c r="C686" s="187" t="s">
        <v>1497</v>
      </c>
      <c r="D686" s="225" t="s">
        <v>1729</v>
      </c>
      <c r="E686" s="190">
        <v>90</v>
      </c>
      <c r="F686" s="227" t="s">
        <v>20</v>
      </c>
      <c r="G686" s="233">
        <v>44064</v>
      </c>
      <c r="H686" s="252">
        <v>216</v>
      </c>
      <c r="I686" s="188">
        <v>500</v>
      </c>
      <c r="J686" s="188">
        <f>+I686*H686</f>
        <v>108000</v>
      </c>
      <c r="K686" s="232">
        <v>44067</v>
      </c>
      <c r="L686" s="192"/>
      <c r="M686" s="317"/>
      <c r="N686" s="306"/>
      <c r="O686" s="306"/>
    </row>
    <row r="687" spans="1:15" s="250" customFormat="1" ht="13.5" customHeight="1" x14ac:dyDescent="0.3">
      <c r="A687" s="185" t="s">
        <v>1731</v>
      </c>
      <c r="B687" s="251" t="s">
        <v>502</v>
      </c>
      <c r="C687" s="187" t="s">
        <v>1497</v>
      </c>
      <c r="D687" s="225" t="s">
        <v>1733</v>
      </c>
      <c r="E687" s="190">
        <v>90</v>
      </c>
      <c r="F687" s="227" t="s">
        <v>20</v>
      </c>
      <c r="G687" s="233">
        <v>44064</v>
      </c>
      <c r="H687" s="252">
        <v>108</v>
      </c>
      <c r="I687" s="188">
        <v>510</v>
      </c>
      <c r="J687" s="188">
        <f>+I687*H687</f>
        <v>55080</v>
      </c>
      <c r="K687" s="232">
        <v>44067</v>
      </c>
      <c r="L687" s="192"/>
      <c r="M687" s="317"/>
      <c r="N687" s="306"/>
      <c r="O687" s="306"/>
    </row>
    <row r="688" spans="1:15" s="250" customFormat="1" ht="13.5" customHeight="1" x14ac:dyDescent="0.3">
      <c r="A688" s="185" t="s">
        <v>1571</v>
      </c>
      <c r="B688" s="251" t="s">
        <v>1326</v>
      </c>
      <c r="C688" s="187" t="s">
        <v>1497</v>
      </c>
      <c r="D688" s="225" t="s">
        <v>1728</v>
      </c>
      <c r="E688" s="190">
        <v>90</v>
      </c>
      <c r="F688" s="227" t="s">
        <v>20</v>
      </c>
      <c r="G688" s="233">
        <v>44068</v>
      </c>
      <c r="H688" s="252">
        <v>800</v>
      </c>
      <c r="I688" s="188">
        <v>477</v>
      </c>
      <c r="J688" s="188">
        <v>381600</v>
      </c>
      <c r="K688" s="232">
        <v>44068</v>
      </c>
      <c r="L688" s="192"/>
      <c r="M688" s="317"/>
      <c r="N688" s="306"/>
      <c r="O688" s="306"/>
    </row>
    <row r="689" spans="1:15" s="250" customFormat="1" ht="13.5" customHeight="1" x14ac:dyDescent="0.3">
      <c r="A689" s="185" t="s">
        <v>1636</v>
      </c>
      <c r="B689" s="251" t="s">
        <v>1600</v>
      </c>
      <c r="C689" s="187" t="s">
        <v>1497</v>
      </c>
      <c r="D689" s="225" t="s">
        <v>1849</v>
      </c>
      <c r="E689" s="190">
        <v>90</v>
      </c>
      <c r="F689" s="227" t="s">
        <v>20</v>
      </c>
      <c r="G689" s="233">
        <v>44069</v>
      </c>
      <c r="H689" s="252">
        <v>80</v>
      </c>
      <c r="I689" s="188">
        <v>464</v>
      </c>
      <c r="J689" s="188">
        <v>37120</v>
      </c>
      <c r="K689" s="232">
        <v>44068</v>
      </c>
      <c r="L689" s="192"/>
      <c r="M689" s="317"/>
      <c r="N689" s="306"/>
      <c r="O689" s="306"/>
    </row>
    <row r="690" spans="1:15" s="250" customFormat="1" ht="13.5" customHeight="1" x14ac:dyDescent="0.3">
      <c r="A690" s="185" t="s">
        <v>1581</v>
      </c>
      <c r="B690" s="251" t="s">
        <v>1293</v>
      </c>
      <c r="C690" s="187" t="s">
        <v>1497</v>
      </c>
      <c r="D690" s="225" t="s">
        <v>1788</v>
      </c>
      <c r="E690" s="190">
        <v>90</v>
      </c>
      <c r="F690" s="227" t="s">
        <v>20</v>
      </c>
      <c r="G690" s="233">
        <v>44069</v>
      </c>
      <c r="H690" s="252">
        <v>110</v>
      </c>
      <c r="I690" s="188">
        <v>253</v>
      </c>
      <c r="J690" s="188">
        <v>27830</v>
      </c>
      <c r="K690" s="232">
        <v>44070</v>
      </c>
      <c r="L690" s="192"/>
      <c r="M690" s="317"/>
      <c r="N690" s="306"/>
      <c r="O690" s="306"/>
    </row>
    <row r="691" spans="1:15" s="250" customFormat="1" ht="13.5" customHeight="1" x14ac:dyDescent="0.3">
      <c r="A691" s="185" t="s">
        <v>1635</v>
      </c>
      <c r="B691" s="251" t="s">
        <v>1600</v>
      </c>
      <c r="C691" s="187" t="s">
        <v>1497</v>
      </c>
      <c r="D691" s="225" t="s">
        <v>1848</v>
      </c>
      <c r="E691" s="190">
        <v>90</v>
      </c>
      <c r="F691" s="227" t="s">
        <v>20</v>
      </c>
      <c r="G691" s="233">
        <v>44069</v>
      </c>
      <c r="H691" s="252">
        <v>330</v>
      </c>
      <c r="I691" s="188">
        <v>457</v>
      </c>
      <c r="J691" s="188">
        <v>150810</v>
      </c>
      <c r="K691" s="232">
        <v>44070</v>
      </c>
      <c r="L691" s="192"/>
      <c r="M691" s="317"/>
      <c r="N691" s="306"/>
      <c r="O691" s="306"/>
    </row>
    <row r="692" spans="1:15" s="250" customFormat="1" ht="13.5" customHeight="1" x14ac:dyDescent="0.3">
      <c r="A692" s="185" t="s">
        <v>1625</v>
      </c>
      <c r="B692" s="251" t="s">
        <v>1439</v>
      </c>
      <c r="C692" s="187" t="s">
        <v>7</v>
      </c>
      <c r="D692" s="225" t="s">
        <v>1845</v>
      </c>
      <c r="E692" s="190">
        <v>90</v>
      </c>
      <c r="F692" s="227" t="s">
        <v>20</v>
      </c>
      <c r="G692" s="233">
        <v>44069</v>
      </c>
      <c r="H692" s="252">
        <v>495</v>
      </c>
      <c r="I692" s="188">
        <v>187</v>
      </c>
      <c r="J692" s="188">
        <f t="shared" ref="J692:J698" si="20">+I692*H692</f>
        <v>92565</v>
      </c>
      <c r="K692" s="232">
        <v>44070</v>
      </c>
      <c r="L692" s="192"/>
      <c r="M692" s="317"/>
      <c r="N692" s="306"/>
      <c r="O692" s="306"/>
    </row>
    <row r="693" spans="1:15" s="250" customFormat="1" ht="13.5" customHeight="1" x14ac:dyDescent="0.3">
      <c r="A693" s="185" t="s">
        <v>1626</v>
      </c>
      <c r="B693" s="251" t="s">
        <v>1439</v>
      </c>
      <c r="C693" s="187" t="s">
        <v>7</v>
      </c>
      <c r="D693" s="225" t="s">
        <v>1846</v>
      </c>
      <c r="E693" s="190">
        <v>90</v>
      </c>
      <c r="F693" s="227" t="s">
        <v>20</v>
      </c>
      <c r="G693" s="233">
        <v>44069</v>
      </c>
      <c r="H693" s="252">
        <v>275</v>
      </c>
      <c r="I693" s="188">
        <v>186.25</v>
      </c>
      <c r="J693" s="188">
        <f t="shared" si="20"/>
        <v>51218.75</v>
      </c>
      <c r="K693" s="232">
        <v>44070</v>
      </c>
      <c r="L693" s="192"/>
      <c r="M693" s="317"/>
      <c r="N693" s="306"/>
      <c r="O693" s="306"/>
    </row>
    <row r="694" spans="1:15" s="250" customFormat="1" ht="13.5" customHeight="1" x14ac:dyDescent="0.3">
      <c r="A694" s="185" t="s">
        <v>1627</v>
      </c>
      <c r="B694" s="251" t="s">
        <v>1439</v>
      </c>
      <c r="C694" s="187" t="s">
        <v>7</v>
      </c>
      <c r="D694" s="225" t="s">
        <v>1847</v>
      </c>
      <c r="E694" s="190">
        <v>90</v>
      </c>
      <c r="F694" s="227" t="s">
        <v>20</v>
      </c>
      <c r="G694" s="233">
        <v>44069</v>
      </c>
      <c r="H694" s="252">
        <v>330</v>
      </c>
      <c r="I694" s="188">
        <v>185.5</v>
      </c>
      <c r="J694" s="188">
        <f t="shared" si="20"/>
        <v>61215</v>
      </c>
      <c r="K694" s="232">
        <v>44070</v>
      </c>
      <c r="L694" s="192"/>
      <c r="M694" s="317"/>
      <c r="N694" s="306"/>
      <c r="O694" s="306"/>
    </row>
    <row r="695" spans="1:15" s="250" customFormat="1" ht="13.5" customHeight="1" x14ac:dyDescent="0.3">
      <c r="A695" s="185" t="s">
        <v>1639</v>
      </c>
      <c r="B695" s="251" t="s">
        <v>1295</v>
      </c>
      <c r="C695" s="187" t="s">
        <v>1651</v>
      </c>
      <c r="D695" s="225" t="s">
        <v>1795</v>
      </c>
      <c r="E695" s="190">
        <v>90</v>
      </c>
      <c r="F695" s="227" t="s">
        <v>20</v>
      </c>
      <c r="G695" s="233">
        <v>44069</v>
      </c>
      <c r="H695" s="252">
        <v>647.5</v>
      </c>
      <c r="I695" s="188">
        <v>620</v>
      </c>
      <c r="J695" s="188">
        <f t="shared" si="20"/>
        <v>401450</v>
      </c>
      <c r="K695" s="232">
        <v>44070</v>
      </c>
      <c r="L695" s="192"/>
      <c r="M695" s="317"/>
      <c r="N695" s="306"/>
      <c r="O695" s="306"/>
    </row>
    <row r="696" spans="1:15" s="250" customFormat="1" ht="13.5" customHeight="1" x14ac:dyDescent="0.3">
      <c r="A696" s="185" t="s">
        <v>1676</v>
      </c>
      <c r="B696" s="251" t="s">
        <v>653</v>
      </c>
      <c r="C696" s="187" t="s">
        <v>1294</v>
      </c>
      <c r="D696" s="225" t="s">
        <v>1744</v>
      </c>
      <c r="E696" s="190">
        <v>90</v>
      </c>
      <c r="F696" s="227" t="s">
        <v>20</v>
      </c>
      <c r="G696" s="233">
        <v>44069</v>
      </c>
      <c r="H696" s="252">
        <v>513</v>
      </c>
      <c r="I696" s="188">
        <v>678</v>
      </c>
      <c r="J696" s="188">
        <f t="shared" si="20"/>
        <v>347814</v>
      </c>
      <c r="K696" s="232">
        <v>44070</v>
      </c>
      <c r="L696" s="192"/>
      <c r="M696" s="317"/>
      <c r="N696" s="306"/>
      <c r="O696" s="306"/>
    </row>
    <row r="697" spans="1:15" s="250" customFormat="1" ht="13.5" customHeight="1" x14ac:dyDescent="0.3">
      <c r="A697" s="185" t="s">
        <v>1582</v>
      </c>
      <c r="B697" s="251" t="s">
        <v>1293</v>
      </c>
      <c r="C697" s="187" t="s">
        <v>1497</v>
      </c>
      <c r="D697" s="225" t="s">
        <v>1789</v>
      </c>
      <c r="E697" s="190">
        <v>90</v>
      </c>
      <c r="F697" s="227" t="s">
        <v>20</v>
      </c>
      <c r="G697" s="233">
        <v>44070</v>
      </c>
      <c r="H697" s="252">
        <v>220</v>
      </c>
      <c r="I697" s="188">
        <v>261</v>
      </c>
      <c r="J697" s="188">
        <f t="shared" si="20"/>
        <v>57420</v>
      </c>
      <c r="K697" s="232">
        <v>44071</v>
      </c>
      <c r="L697" s="192"/>
      <c r="M697" s="317"/>
      <c r="N697" s="308"/>
      <c r="O697" s="308"/>
    </row>
    <row r="698" spans="1:15" s="250" customFormat="1" ht="13.5" customHeight="1" x14ac:dyDescent="0.3">
      <c r="A698" s="185" t="s">
        <v>1583</v>
      </c>
      <c r="B698" s="251" t="s">
        <v>1293</v>
      </c>
      <c r="C698" s="187" t="s">
        <v>1497</v>
      </c>
      <c r="D698" s="225" t="s">
        <v>1790</v>
      </c>
      <c r="E698" s="190">
        <v>90</v>
      </c>
      <c r="F698" s="227" t="s">
        <v>20</v>
      </c>
      <c r="G698" s="233">
        <v>44070</v>
      </c>
      <c r="H698" s="252">
        <v>110</v>
      </c>
      <c r="I698" s="188">
        <v>261</v>
      </c>
      <c r="J698" s="188">
        <f t="shared" si="20"/>
        <v>28710</v>
      </c>
      <c r="K698" s="232">
        <v>44071</v>
      </c>
      <c r="L698" s="192"/>
      <c r="M698" s="317"/>
      <c r="N698" s="308"/>
      <c r="O698" s="308"/>
    </row>
    <row r="699" spans="1:15" s="250" customFormat="1" ht="13.5" customHeight="1" x14ac:dyDescent="0.3">
      <c r="A699" s="185" t="s">
        <v>1753</v>
      </c>
      <c r="B699" s="251" t="s">
        <v>1754</v>
      </c>
      <c r="C699" s="187" t="s">
        <v>331</v>
      </c>
      <c r="D699" s="225" t="s">
        <v>1913</v>
      </c>
      <c r="E699" s="190" t="s">
        <v>5</v>
      </c>
      <c r="F699" s="227"/>
      <c r="G699" s="233">
        <v>44068</v>
      </c>
      <c r="H699" s="252">
        <v>16</v>
      </c>
      <c r="I699" s="188">
        <v>9560</v>
      </c>
      <c r="J699" s="188">
        <v>152960</v>
      </c>
      <c r="K699" s="232">
        <v>44071</v>
      </c>
      <c r="L699" s="192"/>
      <c r="M699" s="317"/>
      <c r="N699" s="308"/>
      <c r="O699" s="308"/>
    </row>
    <row r="700" spans="1:15" s="250" customFormat="1" ht="13.5" customHeight="1" x14ac:dyDescent="0.3">
      <c r="A700" s="185" t="s">
        <v>1767</v>
      </c>
      <c r="B700" s="251" t="s">
        <v>1782</v>
      </c>
      <c r="C700" s="187" t="s">
        <v>331</v>
      </c>
      <c r="D700" s="225" t="s">
        <v>1916</v>
      </c>
      <c r="E700" s="190" t="s">
        <v>5</v>
      </c>
      <c r="F700" s="227"/>
      <c r="G700" s="233">
        <v>44068</v>
      </c>
      <c r="H700" s="252">
        <v>748</v>
      </c>
      <c r="I700" s="188">
        <v>372</v>
      </c>
      <c r="J700" s="188">
        <v>278256</v>
      </c>
      <c r="K700" s="232">
        <v>44071</v>
      </c>
      <c r="L700" s="192"/>
      <c r="M700" s="317"/>
      <c r="N700" s="308"/>
      <c r="O700" s="308"/>
    </row>
    <row r="701" spans="1:15" s="250" customFormat="1" ht="13.5" customHeight="1" x14ac:dyDescent="0.3">
      <c r="A701" s="185" t="s">
        <v>1865</v>
      </c>
      <c r="B701" s="251" t="s">
        <v>1650</v>
      </c>
      <c r="C701" s="187" t="s">
        <v>331</v>
      </c>
      <c r="D701" s="225" t="s">
        <v>1879</v>
      </c>
      <c r="E701" s="190">
        <v>30</v>
      </c>
      <c r="F701" s="227" t="s">
        <v>20</v>
      </c>
      <c r="G701" s="233">
        <v>44071</v>
      </c>
      <c r="H701" s="252">
        <v>432</v>
      </c>
      <c r="I701" s="188">
        <v>220.34</v>
      </c>
      <c r="J701" s="188">
        <v>95186.880000000005</v>
      </c>
      <c r="K701" s="232">
        <v>44071</v>
      </c>
      <c r="L701" s="192"/>
      <c r="M701" s="317"/>
      <c r="N701" s="308"/>
      <c r="O701" s="308"/>
    </row>
    <row r="702" spans="1:15" s="250" customFormat="1" ht="13.5" customHeight="1" x14ac:dyDescent="0.3">
      <c r="A702" s="185" t="s">
        <v>1866</v>
      </c>
      <c r="B702" s="251" t="s">
        <v>1649</v>
      </c>
      <c r="C702" s="187" t="s">
        <v>331</v>
      </c>
      <c r="D702" s="225" t="s">
        <v>1880</v>
      </c>
      <c r="E702" s="190">
        <v>30</v>
      </c>
      <c r="F702" s="227" t="s">
        <v>20</v>
      </c>
      <c r="G702" s="233">
        <v>44071</v>
      </c>
      <c r="H702" s="252">
        <v>125</v>
      </c>
      <c r="I702" s="188">
        <v>220.34</v>
      </c>
      <c r="J702" s="188">
        <v>27542.5</v>
      </c>
      <c r="K702" s="232">
        <v>44071</v>
      </c>
      <c r="L702" s="192"/>
      <c r="M702" s="317"/>
      <c r="N702" s="308"/>
      <c r="O702" s="308"/>
    </row>
    <row r="703" spans="1:15" s="250" customFormat="1" ht="13.5" customHeight="1" x14ac:dyDescent="0.3">
      <c r="A703" s="185" t="s">
        <v>1867</v>
      </c>
      <c r="B703" s="251" t="s">
        <v>1649</v>
      </c>
      <c r="C703" s="187" t="s">
        <v>331</v>
      </c>
      <c r="D703" s="225" t="s">
        <v>1881</v>
      </c>
      <c r="E703" s="190">
        <v>30</v>
      </c>
      <c r="F703" s="227" t="s">
        <v>20</v>
      </c>
      <c r="G703" s="233">
        <v>44071</v>
      </c>
      <c r="H703" s="252">
        <v>625</v>
      </c>
      <c r="I703" s="188">
        <v>220.34</v>
      </c>
      <c r="J703" s="188">
        <v>137712.5</v>
      </c>
      <c r="K703" s="232">
        <v>44071</v>
      </c>
      <c r="L703" s="192"/>
      <c r="M703" s="317"/>
      <c r="N703" s="308"/>
      <c r="O703" s="308"/>
    </row>
    <row r="704" spans="1:15" s="250" customFormat="1" ht="13.5" customHeight="1" x14ac:dyDescent="0.3">
      <c r="A704" s="185" t="s">
        <v>1868</v>
      </c>
      <c r="B704" s="251" t="s">
        <v>1649</v>
      </c>
      <c r="C704" s="187" t="s">
        <v>331</v>
      </c>
      <c r="D704" s="225" t="s">
        <v>1882</v>
      </c>
      <c r="E704" s="190">
        <v>30</v>
      </c>
      <c r="F704" s="227" t="s">
        <v>20</v>
      </c>
      <c r="G704" s="233">
        <v>44071</v>
      </c>
      <c r="H704" s="252">
        <v>625</v>
      </c>
      <c r="I704" s="188">
        <v>220.34</v>
      </c>
      <c r="J704" s="188">
        <v>137712.5</v>
      </c>
      <c r="K704" s="232">
        <v>44071</v>
      </c>
      <c r="L704" s="192"/>
      <c r="M704" s="317"/>
      <c r="N704" s="308"/>
      <c r="O704" s="308"/>
    </row>
    <row r="705" spans="1:15" s="250" customFormat="1" ht="13.5" customHeight="1" x14ac:dyDescent="0.3">
      <c r="A705" s="185" t="s">
        <v>1869</v>
      </c>
      <c r="B705" s="251" t="s">
        <v>1649</v>
      </c>
      <c r="C705" s="187" t="s">
        <v>331</v>
      </c>
      <c r="D705" s="225" t="s">
        <v>1883</v>
      </c>
      <c r="E705" s="190">
        <v>30</v>
      </c>
      <c r="F705" s="227" t="s">
        <v>20</v>
      </c>
      <c r="G705" s="233">
        <v>44071</v>
      </c>
      <c r="H705" s="252">
        <v>600</v>
      </c>
      <c r="I705" s="188">
        <v>220.34</v>
      </c>
      <c r="J705" s="188">
        <v>132204</v>
      </c>
      <c r="K705" s="232">
        <v>44071</v>
      </c>
      <c r="L705" s="192"/>
      <c r="M705" s="317"/>
      <c r="N705" s="308"/>
      <c r="O705" s="308"/>
    </row>
    <row r="706" spans="1:15" s="250" customFormat="1" ht="13.5" customHeight="1" x14ac:dyDescent="0.3">
      <c r="A706" s="185" t="s">
        <v>1580</v>
      </c>
      <c r="B706" s="251" t="s">
        <v>1293</v>
      </c>
      <c r="C706" s="187" t="s">
        <v>1497</v>
      </c>
      <c r="D706" s="225" t="s">
        <v>1787</v>
      </c>
      <c r="E706" s="190">
        <v>90</v>
      </c>
      <c r="F706" s="227" t="s">
        <v>20</v>
      </c>
      <c r="G706" s="233">
        <v>44071</v>
      </c>
      <c r="H706" s="252">
        <v>300</v>
      </c>
      <c r="I706" s="188">
        <v>257</v>
      </c>
      <c r="J706" s="188">
        <f>+I706*H706</f>
        <v>77100</v>
      </c>
      <c r="K706" s="232">
        <v>44074</v>
      </c>
      <c r="L706" s="192"/>
      <c r="M706" s="317"/>
      <c r="N706" s="308"/>
      <c r="O706" s="308"/>
    </row>
    <row r="707" spans="1:15" s="250" customFormat="1" ht="13.5" customHeight="1" x14ac:dyDescent="0.3">
      <c r="A707" s="185" t="s">
        <v>1642</v>
      </c>
      <c r="B707" s="251" t="s">
        <v>1292</v>
      </c>
      <c r="C707" s="187" t="s">
        <v>280</v>
      </c>
      <c r="D707" s="225" t="s">
        <v>1797</v>
      </c>
      <c r="E707" s="190">
        <v>90</v>
      </c>
      <c r="F707" s="227" t="s">
        <v>20</v>
      </c>
      <c r="G707" s="233">
        <v>44075</v>
      </c>
      <c r="H707" s="252">
        <v>600</v>
      </c>
      <c r="I707" s="188">
        <v>113</v>
      </c>
      <c r="J707" s="188">
        <v>67800</v>
      </c>
      <c r="K707" s="232">
        <v>44074</v>
      </c>
      <c r="L707" s="192"/>
      <c r="M707" s="317"/>
      <c r="N707" s="308"/>
      <c r="O707" s="308"/>
    </row>
    <row r="708" spans="1:15" s="250" customFormat="1" ht="13.5" customHeight="1" x14ac:dyDescent="0.3">
      <c r="A708" s="185" t="s">
        <v>1646</v>
      </c>
      <c r="B708" s="251" t="s">
        <v>502</v>
      </c>
      <c r="C708" s="187" t="s">
        <v>280</v>
      </c>
      <c r="D708" s="225" t="s">
        <v>1740</v>
      </c>
      <c r="E708" s="190">
        <v>90</v>
      </c>
      <c r="F708" s="227" t="s">
        <v>20</v>
      </c>
      <c r="G708" s="233">
        <v>44071</v>
      </c>
      <c r="H708" s="252">
        <v>200.4</v>
      </c>
      <c r="I708" s="188">
        <v>458</v>
      </c>
      <c r="J708" s="188">
        <v>91783.2</v>
      </c>
      <c r="K708" s="232">
        <v>44074</v>
      </c>
      <c r="L708" s="192"/>
      <c r="M708" s="317"/>
      <c r="N708" s="308"/>
      <c r="O708" s="308"/>
    </row>
    <row r="709" spans="1:15" s="250" customFormat="1" ht="13.5" customHeight="1" x14ac:dyDescent="0.3">
      <c r="A709" s="185" t="s">
        <v>1648</v>
      </c>
      <c r="B709" s="251" t="s">
        <v>502</v>
      </c>
      <c r="C709" s="187" t="s">
        <v>280</v>
      </c>
      <c r="D709" s="225" t="s">
        <v>1801</v>
      </c>
      <c r="E709" s="190">
        <v>90</v>
      </c>
      <c r="F709" s="227" t="s">
        <v>20</v>
      </c>
      <c r="G709" s="233">
        <v>44074</v>
      </c>
      <c r="H709" s="252">
        <v>50.4</v>
      </c>
      <c r="I709" s="188">
        <v>460</v>
      </c>
      <c r="J709" s="188">
        <v>23184</v>
      </c>
      <c r="K709" s="232">
        <v>44074</v>
      </c>
      <c r="L709" s="192"/>
      <c r="M709" s="317"/>
      <c r="N709" s="308"/>
      <c r="O709" s="308"/>
    </row>
    <row r="710" spans="1:15" s="250" customFormat="1" ht="13.5" customHeight="1" x14ac:dyDescent="0.3">
      <c r="A710" s="185" t="s">
        <v>1693</v>
      </c>
      <c r="B710" s="251" t="s">
        <v>502</v>
      </c>
      <c r="C710" s="187" t="s">
        <v>280</v>
      </c>
      <c r="D710" s="225" t="s">
        <v>1808</v>
      </c>
      <c r="E710" s="190">
        <v>90</v>
      </c>
      <c r="F710" s="227" t="s">
        <v>20</v>
      </c>
      <c r="G710" s="233">
        <v>44071</v>
      </c>
      <c r="H710" s="252">
        <v>250.8</v>
      </c>
      <c r="I710" s="188">
        <v>449</v>
      </c>
      <c r="J710" s="188">
        <v>112609.20000000001</v>
      </c>
      <c r="K710" s="232">
        <v>44074</v>
      </c>
      <c r="L710" s="192"/>
      <c r="M710" s="317"/>
      <c r="N710" s="308"/>
      <c r="O710" s="308"/>
    </row>
    <row r="711" spans="1:15" s="250" customFormat="1" ht="13.5" customHeight="1" x14ac:dyDescent="0.3">
      <c r="A711" s="185" t="s">
        <v>1644</v>
      </c>
      <c r="B711" s="251" t="s">
        <v>1325</v>
      </c>
      <c r="C711" s="187" t="s">
        <v>1294</v>
      </c>
      <c r="D711" s="225" t="s">
        <v>1798</v>
      </c>
      <c r="E711" s="190">
        <v>90</v>
      </c>
      <c r="F711" s="227" t="s">
        <v>20</v>
      </c>
      <c r="G711" s="233">
        <v>44072</v>
      </c>
      <c r="H711" s="252">
        <v>319.2</v>
      </c>
      <c r="I711" s="188">
        <v>865</v>
      </c>
      <c r="J711" s="188">
        <v>276108</v>
      </c>
      <c r="K711" s="232">
        <v>44074</v>
      </c>
      <c r="L711" s="192"/>
      <c r="M711" s="317"/>
      <c r="N711" s="308"/>
      <c r="O711" s="308"/>
    </row>
    <row r="712" spans="1:15" s="250" customFormat="1" ht="13.5" customHeight="1" x14ac:dyDescent="0.3">
      <c r="A712" s="185" t="s">
        <v>1669</v>
      </c>
      <c r="B712" s="251" t="s">
        <v>502</v>
      </c>
      <c r="C712" s="187" t="s">
        <v>1294</v>
      </c>
      <c r="D712" s="225" t="s">
        <v>1803</v>
      </c>
      <c r="E712" s="190">
        <v>90</v>
      </c>
      <c r="F712" s="227" t="s">
        <v>20</v>
      </c>
      <c r="G712" s="233">
        <v>44071</v>
      </c>
      <c r="H712" s="252">
        <v>165</v>
      </c>
      <c r="I712" s="188">
        <v>443</v>
      </c>
      <c r="J712" s="188">
        <v>73095</v>
      </c>
      <c r="K712" s="232">
        <v>44074</v>
      </c>
      <c r="L712" s="192"/>
      <c r="M712" s="317"/>
      <c r="N712" s="308"/>
      <c r="O712" s="308"/>
    </row>
    <row r="713" spans="1:15" s="250" customFormat="1" ht="13.5" customHeight="1" x14ac:dyDescent="0.3">
      <c r="A713" s="185" t="s">
        <v>1678</v>
      </c>
      <c r="B713" s="251" t="s">
        <v>1325</v>
      </c>
      <c r="C713" s="187" t="s">
        <v>928</v>
      </c>
      <c r="D713" s="225" t="s">
        <v>1807</v>
      </c>
      <c r="E713" s="190">
        <v>90</v>
      </c>
      <c r="F713" s="227" t="s">
        <v>20</v>
      </c>
      <c r="G713" s="233">
        <v>44075</v>
      </c>
      <c r="H713" s="252">
        <v>456</v>
      </c>
      <c r="I713" s="188">
        <v>875</v>
      </c>
      <c r="J713" s="188">
        <f>+I713*H713</f>
        <v>399000</v>
      </c>
      <c r="K713" s="232">
        <v>44076</v>
      </c>
      <c r="L713" s="192"/>
      <c r="M713" s="317"/>
      <c r="N713" s="308"/>
      <c r="O713" s="308"/>
    </row>
    <row r="714" spans="1:15" s="250" customFormat="1" ht="13.5" customHeight="1" x14ac:dyDescent="0.3">
      <c r="A714" s="185" t="s">
        <v>1645</v>
      </c>
      <c r="B714" s="251" t="s">
        <v>1325</v>
      </c>
      <c r="C714" s="187" t="s">
        <v>1294</v>
      </c>
      <c r="D714" s="225" t="s">
        <v>1799</v>
      </c>
      <c r="E714" s="190">
        <v>90</v>
      </c>
      <c r="F714" s="227" t="s">
        <v>20</v>
      </c>
      <c r="G714" s="233">
        <v>44076</v>
      </c>
      <c r="H714" s="252">
        <v>159.6</v>
      </c>
      <c r="I714" s="188">
        <v>890</v>
      </c>
      <c r="J714" s="188">
        <f>+I714*H714</f>
        <v>142044</v>
      </c>
      <c r="K714" s="232">
        <v>44076</v>
      </c>
      <c r="L714" s="192"/>
      <c r="M714" s="317"/>
      <c r="N714" s="308"/>
      <c r="O714" s="308"/>
    </row>
    <row r="715" spans="1:15" s="250" customFormat="1" ht="13.5" customHeight="1" x14ac:dyDescent="0.3">
      <c r="A715" s="185" t="s">
        <v>1720</v>
      </c>
      <c r="B715" s="251" t="s">
        <v>1600</v>
      </c>
      <c r="C715" s="187" t="s">
        <v>1721</v>
      </c>
      <c r="D715" s="225" t="s">
        <v>1809</v>
      </c>
      <c r="E715" s="190">
        <v>90</v>
      </c>
      <c r="F715" s="227" t="s">
        <v>20</v>
      </c>
      <c r="G715" s="233">
        <v>44075</v>
      </c>
      <c r="H715" s="252">
        <v>200</v>
      </c>
      <c r="I715" s="188">
        <v>444</v>
      </c>
      <c r="J715" s="188">
        <f>+I715*H715</f>
        <v>88800</v>
      </c>
      <c r="K715" s="232">
        <v>44076</v>
      </c>
      <c r="L715" s="192"/>
      <c r="M715" s="317"/>
      <c r="N715" s="308"/>
      <c r="O715" s="308"/>
    </row>
    <row r="716" spans="1:15" s="250" customFormat="1" ht="13.5" customHeight="1" x14ac:dyDescent="0.3">
      <c r="A716" s="185" t="s">
        <v>1894</v>
      </c>
      <c r="B716" s="251" t="s">
        <v>1325</v>
      </c>
      <c r="C716" s="187" t="s">
        <v>16</v>
      </c>
      <c r="D716" s="225" t="s">
        <v>2097</v>
      </c>
      <c r="E716" s="190" t="s">
        <v>5</v>
      </c>
      <c r="F716" s="227"/>
      <c r="G716" s="233">
        <v>44077</v>
      </c>
      <c r="H716" s="252">
        <v>212.8</v>
      </c>
      <c r="I716" s="188">
        <v>807</v>
      </c>
      <c r="J716" s="188">
        <v>34345.920000000006</v>
      </c>
      <c r="K716" s="232">
        <v>44077</v>
      </c>
      <c r="L716" s="192" t="s">
        <v>1951</v>
      </c>
      <c r="M716" s="317"/>
      <c r="N716" s="307"/>
      <c r="O716" s="307"/>
    </row>
    <row r="717" spans="1:15" s="250" customFormat="1" ht="13.5" customHeight="1" x14ac:dyDescent="0.3">
      <c r="A717" s="185" t="s">
        <v>1895</v>
      </c>
      <c r="B717" s="251" t="s">
        <v>1325</v>
      </c>
      <c r="C717" s="187" t="s">
        <v>16</v>
      </c>
      <c r="D717" s="225"/>
      <c r="E717" s="190" t="s">
        <v>5</v>
      </c>
      <c r="F717" s="227"/>
      <c r="G717" s="233">
        <v>44077</v>
      </c>
      <c r="H717" s="252">
        <v>212.8</v>
      </c>
      <c r="I717" s="188">
        <v>807</v>
      </c>
      <c r="J717" s="188">
        <v>34345.920000000006</v>
      </c>
      <c r="K717" s="232">
        <v>44077</v>
      </c>
      <c r="L717" s="192" t="s">
        <v>1951</v>
      </c>
      <c r="M717" s="317"/>
      <c r="N717" s="307"/>
      <c r="O717" s="307"/>
    </row>
    <row r="718" spans="1:15" s="250" customFormat="1" ht="13.5" customHeight="1" x14ac:dyDescent="0.3">
      <c r="A718" s="185" t="s">
        <v>1903</v>
      </c>
      <c r="B718" s="251" t="s">
        <v>1325</v>
      </c>
      <c r="C718" s="187" t="s">
        <v>16</v>
      </c>
      <c r="D718" s="225" t="s">
        <v>2096</v>
      </c>
      <c r="E718" s="190" t="s">
        <v>5</v>
      </c>
      <c r="F718" s="227"/>
      <c r="G718" s="233">
        <v>44077</v>
      </c>
      <c r="H718" s="252">
        <v>186.2</v>
      </c>
      <c r="I718" s="188">
        <v>837</v>
      </c>
      <c r="J718" s="188">
        <v>77924.7</v>
      </c>
      <c r="K718" s="232">
        <v>44077</v>
      </c>
      <c r="L718" s="192" t="s">
        <v>1952</v>
      </c>
      <c r="M718" s="317"/>
      <c r="N718" s="307"/>
      <c r="O718" s="307"/>
    </row>
    <row r="719" spans="1:15" s="250" customFormat="1" ht="13.5" customHeight="1" x14ac:dyDescent="0.3">
      <c r="A719" s="185" t="s">
        <v>1930</v>
      </c>
      <c r="B719" s="251" t="s">
        <v>1525</v>
      </c>
      <c r="C719" s="187" t="s">
        <v>331</v>
      </c>
      <c r="D719" s="225" t="s">
        <v>1956</v>
      </c>
      <c r="E719" s="190" t="s">
        <v>5</v>
      </c>
      <c r="F719" s="227"/>
      <c r="G719" s="233">
        <v>44076</v>
      </c>
      <c r="H719" s="252">
        <v>401.48500000000001</v>
      </c>
      <c r="I719" s="188">
        <v>532.55999999999995</v>
      </c>
      <c r="J719" s="188">
        <v>213814.85159999999</v>
      </c>
      <c r="K719" s="232">
        <v>44077</v>
      </c>
      <c r="L719" s="192"/>
      <c r="M719" s="317"/>
      <c r="N719" s="308"/>
      <c r="O719" s="308"/>
    </row>
    <row r="720" spans="1:15" s="250" customFormat="1" ht="13.5" customHeight="1" x14ac:dyDescent="0.3">
      <c r="A720" s="185" t="s">
        <v>1940</v>
      </c>
      <c r="B720" s="251" t="s">
        <v>1525</v>
      </c>
      <c r="C720" s="187" t="s">
        <v>331</v>
      </c>
      <c r="D720" s="225" t="s">
        <v>1958</v>
      </c>
      <c r="E720" s="190" t="s">
        <v>5</v>
      </c>
      <c r="F720" s="227"/>
      <c r="G720" s="233">
        <v>44076</v>
      </c>
      <c r="H720" s="252">
        <v>594</v>
      </c>
      <c r="I720" s="188">
        <v>532.55999999999995</v>
      </c>
      <c r="J720" s="188">
        <v>316340.63999999996</v>
      </c>
      <c r="K720" s="232">
        <v>44077</v>
      </c>
      <c r="L720" s="192"/>
      <c r="M720" s="317"/>
      <c r="N720" s="308"/>
      <c r="O720" s="308"/>
    </row>
    <row r="721" spans="1:15" s="250" customFormat="1" ht="13.5" customHeight="1" x14ac:dyDescent="0.3">
      <c r="A721" s="185" t="s">
        <v>1892</v>
      </c>
      <c r="B721" s="251" t="s">
        <v>1325</v>
      </c>
      <c r="C721" s="187" t="s">
        <v>16</v>
      </c>
      <c r="D721" s="225"/>
      <c r="E721" s="190" t="s">
        <v>5</v>
      </c>
      <c r="F721" s="227"/>
      <c r="G721" s="233">
        <v>44078</v>
      </c>
      <c r="H721" s="252">
        <v>212.8</v>
      </c>
      <c r="I721" s="188">
        <v>817</v>
      </c>
      <c r="J721" s="188">
        <v>34771.520000000004</v>
      </c>
      <c r="K721" s="232">
        <v>44078</v>
      </c>
      <c r="L721" s="192" t="s">
        <v>1951</v>
      </c>
      <c r="M721" s="317"/>
      <c r="N721" s="307"/>
      <c r="O721" s="307"/>
    </row>
    <row r="722" spans="1:15" s="250" customFormat="1" ht="13.5" customHeight="1" x14ac:dyDescent="0.3">
      <c r="A722" s="185" t="s">
        <v>1893</v>
      </c>
      <c r="B722" s="251" t="s">
        <v>1325</v>
      </c>
      <c r="C722" s="187" t="s">
        <v>16</v>
      </c>
      <c r="D722" s="225"/>
      <c r="E722" s="190" t="s">
        <v>5</v>
      </c>
      <c r="F722" s="227"/>
      <c r="G722" s="233">
        <v>44078</v>
      </c>
      <c r="H722" s="252">
        <v>212.8</v>
      </c>
      <c r="I722" s="188">
        <v>817</v>
      </c>
      <c r="J722" s="188">
        <v>34771.520000000004</v>
      </c>
      <c r="K722" s="232">
        <v>44078</v>
      </c>
      <c r="L722" s="192" t="s">
        <v>1951</v>
      </c>
      <c r="M722" s="317"/>
      <c r="N722" s="307"/>
      <c r="O722" s="307"/>
    </row>
    <row r="723" spans="1:15" s="250" customFormat="1" ht="13.5" customHeight="1" x14ac:dyDescent="0.3">
      <c r="A723" s="185" t="s">
        <v>1897</v>
      </c>
      <c r="B723" s="251" t="s">
        <v>1325</v>
      </c>
      <c r="C723" s="187" t="s">
        <v>16</v>
      </c>
      <c r="D723" s="225"/>
      <c r="E723" s="190" t="s">
        <v>5</v>
      </c>
      <c r="F723" s="227"/>
      <c r="G723" s="233">
        <v>44078</v>
      </c>
      <c r="H723" s="252">
        <v>319.2</v>
      </c>
      <c r="I723" s="188">
        <v>807</v>
      </c>
      <c r="J723" s="188">
        <v>51518.880000000005</v>
      </c>
      <c r="K723" s="232">
        <v>44078</v>
      </c>
      <c r="L723" s="192" t="s">
        <v>1951</v>
      </c>
      <c r="M723" s="317"/>
      <c r="N723" s="307"/>
      <c r="O723" s="307"/>
    </row>
    <row r="724" spans="1:15" s="250" customFormat="1" ht="13.5" customHeight="1" x14ac:dyDescent="0.3">
      <c r="A724" s="185" t="s">
        <v>1898</v>
      </c>
      <c r="B724" s="251" t="s">
        <v>1325</v>
      </c>
      <c r="C724" s="187" t="s">
        <v>16</v>
      </c>
      <c r="D724" s="225"/>
      <c r="E724" s="190" t="s">
        <v>5</v>
      </c>
      <c r="F724" s="227"/>
      <c r="G724" s="233">
        <v>44078</v>
      </c>
      <c r="H724" s="252">
        <v>212.8</v>
      </c>
      <c r="I724" s="188">
        <v>807</v>
      </c>
      <c r="J724" s="188">
        <v>34345.920000000006</v>
      </c>
      <c r="K724" s="232">
        <v>44078</v>
      </c>
      <c r="L724" s="192" t="s">
        <v>1951</v>
      </c>
      <c r="M724" s="317"/>
      <c r="N724" s="307"/>
      <c r="O724" s="307"/>
    </row>
    <row r="725" spans="1:15" s="250" customFormat="1" ht="13.5" customHeight="1" x14ac:dyDescent="0.3">
      <c r="A725" s="185" t="s">
        <v>1899</v>
      </c>
      <c r="B725" s="251" t="s">
        <v>1325</v>
      </c>
      <c r="C725" s="187" t="s">
        <v>16</v>
      </c>
      <c r="D725" s="225"/>
      <c r="E725" s="190" t="s">
        <v>5</v>
      </c>
      <c r="F725" s="227"/>
      <c r="G725" s="233">
        <v>44078</v>
      </c>
      <c r="H725" s="252">
        <v>212.8</v>
      </c>
      <c r="I725" s="188">
        <v>807</v>
      </c>
      <c r="J725" s="188">
        <v>34345.920000000006</v>
      </c>
      <c r="K725" s="232">
        <v>44078</v>
      </c>
      <c r="L725" s="192" t="s">
        <v>1951</v>
      </c>
      <c r="M725" s="317"/>
      <c r="N725" s="307"/>
      <c r="O725" s="307"/>
    </row>
    <row r="726" spans="1:15" s="250" customFormat="1" ht="13.5" customHeight="1" x14ac:dyDescent="0.3">
      <c r="A726" s="185" t="s">
        <v>1900</v>
      </c>
      <c r="B726" s="251" t="s">
        <v>1325</v>
      </c>
      <c r="C726" s="187" t="s">
        <v>16</v>
      </c>
      <c r="D726" s="225"/>
      <c r="E726" s="190" t="s">
        <v>5</v>
      </c>
      <c r="F726" s="227"/>
      <c r="G726" s="233">
        <v>44078</v>
      </c>
      <c r="H726" s="252">
        <v>319.2</v>
      </c>
      <c r="I726" s="188">
        <v>817</v>
      </c>
      <c r="J726" s="188">
        <v>52157.279999999999</v>
      </c>
      <c r="K726" s="232">
        <v>44078</v>
      </c>
      <c r="L726" s="192" t="s">
        <v>1951</v>
      </c>
      <c r="M726" s="317"/>
      <c r="N726" s="307"/>
      <c r="O726" s="307"/>
    </row>
    <row r="727" spans="1:15" s="250" customFormat="1" ht="13.5" customHeight="1" x14ac:dyDescent="0.3">
      <c r="A727" s="185" t="s">
        <v>1901</v>
      </c>
      <c r="B727" s="251" t="s">
        <v>1325</v>
      </c>
      <c r="C727" s="187" t="s">
        <v>16</v>
      </c>
      <c r="D727" s="225"/>
      <c r="E727" s="190" t="s">
        <v>5</v>
      </c>
      <c r="F727" s="227"/>
      <c r="G727" s="233">
        <v>44078</v>
      </c>
      <c r="H727" s="252">
        <v>212.8</v>
      </c>
      <c r="I727" s="188">
        <v>817</v>
      </c>
      <c r="J727" s="188">
        <v>34771.520000000004</v>
      </c>
      <c r="K727" s="232">
        <v>44078</v>
      </c>
      <c r="L727" s="192" t="s">
        <v>1951</v>
      </c>
      <c r="M727" s="317"/>
      <c r="N727" s="307"/>
      <c r="O727" s="307"/>
    </row>
    <row r="728" spans="1:15" s="250" customFormat="1" ht="13.5" customHeight="1" x14ac:dyDescent="0.3">
      <c r="A728" s="185" t="s">
        <v>1902</v>
      </c>
      <c r="B728" s="251" t="s">
        <v>1325</v>
      </c>
      <c r="C728" s="187" t="s">
        <v>16</v>
      </c>
      <c r="D728" s="225"/>
      <c r="E728" s="190" t="s">
        <v>5</v>
      </c>
      <c r="F728" s="227"/>
      <c r="G728" s="233">
        <v>44078</v>
      </c>
      <c r="H728" s="252">
        <v>212.8</v>
      </c>
      <c r="I728" s="188">
        <v>817</v>
      </c>
      <c r="J728" s="188">
        <v>34771.520000000004</v>
      </c>
      <c r="K728" s="232">
        <v>44078</v>
      </c>
      <c r="L728" s="192" t="s">
        <v>1951</v>
      </c>
      <c r="M728" s="317"/>
      <c r="N728" s="307"/>
      <c r="O728" s="307"/>
    </row>
    <row r="729" spans="1:15" s="250" customFormat="1" ht="13.5" customHeight="1" x14ac:dyDescent="0.3">
      <c r="A729" s="185" t="s">
        <v>1677</v>
      </c>
      <c r="B729" s="251" t="s">
        <v>1325</v>
      </c>
      <c r="C729" s="187" t="s">
        <v>928</v>
      </c>
      <c r="D729" s="225" t="s">
        <v>1806</v>
      </c>
      <c r="E729" s="190">
        <v>90</v>
      </c>
      <c r="F729" s="227" t="s">
        <v>20</v>
      </c>
      <c r="G729" s="233">
        <v>44078</v>
      </c>
      <c r="H729" s="252">
        <v>552</v>
      </c>
      <c r="I729" s="188">
        <v>865</v>
      </c>
      <c r="J729" s="188">
        <f t="shared" ref="J729:J743" si="21">+I729*H729</f>
        <v>477480</v>
      </c>
      <c r="K729" s="232">
        <v>44078</v>
      </c>
      <c r="L729" s="192"/>
      <c r="M729" s="317"/>
      <c r="N729" s="308"/>
      <c r="O729" s="308"/>
    </row>
    <row r="730" spans="1:15" s="250" customFormat="1" ht="13.5" customHeight="1" x14ac:dyDescent="0.3">
      <c r="A730" s="185" t="s">
        <v>1870</v>
      </c>
      <c r="B730" s="251" t="s">
        <v>1649</v>
      </c>
      <c r="C730" s="187" t="s">
        <v>331</v>
      </c>
      <c r="D730" s="225" t="s">
        <v>1917</v>
      </c>
      <c r="E730" s="190">
        <v>30</v>
      </c>
      <c r="F730" s="227" t="s">
        <v>20</v>
      </c>
      <c r="G730" s="233">
        <v>44087</v>
      </c>
      <c r="H730" s="252">
        <v>100</v>
      </c>
      <c r="I730" s="188">
        <v>220.34</v>
      </c>
      <c r="J730" s="188">
        <f t="shared" si="21"/>
        <v>22034</v>
      </c>
      <c r="K730" s="232">
        <v>44084</v>
      </c>
      <c r="L730" s="192"/>
      <c r="M730" s="318">
        <v>44082</v>
      </c>
      <c r="N730" s="318"/>
      <c r="O730" s="318"/>
    </row>
    <row r="731" spans="1:15" s="250" customFormat="1" ht="13.5" customHeight="1" x14ac:dyDescent="0.3">
      <c r="A731" s="185" t="s">
        <v>1924</v>
      </c>
      <c r="B731" s="251" t="s">
        <v>1785</v>
      </c>
      <c r="C731" s="187" t="s">
        <v>331</v>
      </c>
      <c r="D731" s="225" t="s">
        <v>2003</v>
      </c>
      <c r="E731" s="190" t="s">
        <v>5</v>
      </c>
      <c r="F731" s="227"/>
      <c r="G731" s="233">
        <v>44083</v>
      </c>
      <c r="H731" s="252">
        <v>159.79</v>
      </c>
      <c r="I731" s="188">
        <v>258.95</v>
      </c>
      <c r="J731" s="188">
        <f t="shared" si="21"/>
        <v>41377.620499999997</v>
      </c>
      <c r="K731" s="232">
        <v>44084</v>
      </c>
      <c r="L731" s="192"/>
      <c r="M731" s="319">
        <v>44082</v>
      </c>
      <c r="N731" s="319"/>
      <c r="O731" s="319"/>
    </row>
    <row r="732" spans="1:15" s="250" customFormat="1" ht="13.5" customHeight="1" x14ac:dyDescent="0.3">
      <c r="A732" s="185" t="s">
        <v>1925</v>
      </c>
      <c r="B732" s="251" t="s">
        <v>1785</v>
      </c>
      <c r="C732" s="187" t="s">
        <v>331</v>
      </c>
      <c r="D732" s="225" t="s">
        <v>2004</v>
      </c>
      <c r="E732" s="190" t="s">
        <v>5</v>
      </c>
      <c r="F732" s="227"/>
      <c r="G732" s="233">
        <v>44083</v>
      </c>
      <c r="H732" s="252">
        <v>213.24</v>
      </c>
      <c r="I732" s="188">
        <v>256.83</v>
      </c>
      <c r="J732" s="188">
        <f t="shared" si="21"/>
        <v>54766.429199999999</v>
      </c>
      <c r="K732" s="232">
        <v>44084</v>
      </c>
      <c r="L732" s="192"/>
      <c r="M732" s="319">
        <v>44082</v>
      </c>
      <c r="N732" s="319"/>
      <c r="O732" s="319"/>
    </row>
    <row r="733" spans="1:15" s="250" customFormat="1" ht="13.5" customHeight="1" x14ac:dyDescent="0.3">
      <c r="A733" s="185" t="s">
        <v>1926</v>
      </c>
      <c r="B733" s="251" t="s">
        <v>1785</v>
      </c>
      <c r="C733" s="187" t="s">
        <v>331</v>
      </c>
      <c r="D733" s="225" t="s">
        <v>2005</v>
      </c>
      <c r="E733" s="190" t="s">
        <v>5</v>
      </c>
      <c r="F733" s="227"/>
      <c r="G733" s="233">
        <v>44083</v>
      </c>
      <c r="H733" s="252">
        <v>216</v>
      </c>
      <c r="I733" s="188">
        <v>284.73</v>
      </c>
      <c r="J733" s="188">
        <f t="shared" si="21"/>
        <v>61501.680000000008</v>
      </c>
      <c r="K733" s="232">
        <v>44084</v>
      </c>
      <c r="L733" s="192"/>
      <c r="M733" s="319">
        <v>44082</v>
      </c>
      <c r="N733" s="319"/>
      <c r="O733" s="319"/>
    </row>
    <row r="734" spans="1:15" s="250" customFormat="1" ht="13.5" customHeight="1" x14ac:dyDescent="0.3">
      <c r="A734" s="185" t="s">
        <v>1927</v>
      </c>
      <c r="B734" s="251" t="s">
        <v>1785</v>
      </c>
      <c r="C734" s="187" t="s">
        <v>331</v>
      </c>
      <c r="D734" s="225" t="s">
        <v>1953</v>
      </c>
      <c r="E734" s="190" t="s">
        <v>5</v>
      </c>
      <c r="F734" s="227"/>
      <c r="G734" s="233">
        <v>44083</v>
      </c>
      <c r="H734" s="252">
        <v>185.86500000000001</v>
      </c>
      <c r="I734" s="188">
        <v>284.73</v>
      </c>
      <c r="J734" s="188">
        <f t="shared" si="21"/>
        <v>52921.341450000007</v>
      </c>
      <c r="K734" s="232">
        <v>44084</v>
      </c>
      <c r="L734" s="192"/>
      <c r="M734" s="319">
        <v>44082</v>
      </c>
      <c r="N734" s="319"/>
      <c r="O734" s="319"/>
    </row>
    <row r="735" spans="1:15" s="250" customFormat="1" ht="13.5" customHeight="1" x14ac:dyDescent="0.3">
      <c r="A735" s="185" t="s">
        <v>1928</v>
      </c>
      <c r="B735" s="251" t="s">
        <v>1785</v>
      </c>
      <c r="C735" s="187" t="s">
        <v>331</v>
      </c>
      <c r="D735" s="225" t="s">
        <v>1954</v>
      </c>
      <c r="E735" s="190" t="s">
        <v>5</v>
      </c>
      <c r="F735" s="227"/>
      <c r="G735" s="233">
        <v>44083</v>
      </c>
      <c r="H735" s="252">
        <v>293.42500000000001</v>
      </c>
      <c r="I735" s="188">
        <v>284.73</v>
      </c>
      <c r="J735" s="188">
        <f t="shared" si="21"/>
        <v>83546.900250000006</v>
      </c>
      <c r="K735" s="232">
        <v>44084</v>
      </c>
      <c r="L735" s="192"/>
      <c r="M735" s="319">
        <v>44082</v>
      </c>
      <c r="N735" s="319"/>
      <c r="O735" s="319"/>
    </row>
    <row r="736" spans="1:15" s="250" customFormat="1" ht="13.5" customHeight="1" x14ac:dyDescent="0.3">
      <c r="A736" s="185" t="s">
        <v>1929</v>
      </c>
      <c r="B736" s="251" t="s">
        <v>1785</v>
      </c>
      <c r="C736" s="187" t="s">
        <v>331</v>
      </c>
      <c r="D736" s="225" t="s">
        <v>1955</v>
      </c>
      <c r="E736" s="190" t="s">
        <v>5</v>
      </c>
      <c r="F736" s="227"/>
      <c r="G736" s="233">
        <v>44083</v>
      </c>
      <c r="H736" s="252">
        <v>108</v>
      </c>
      <c r="I736" s="188">
        <v>284.73</v>
      </c>
      <c r="J736" s="188">
        <f t="shared" si="21"/>
        <v>30750.840000000004</v>
      </c>
      <c r="K736" s="232">
        <v>44084</v>
      </c>
      <c r="L736" s="192"/>
      <c r="M736" s="319">
        <v>44082</v>
      </c>
      <c r="N736" s="319"/>
      <c r="O736" s="319"/>
    </row>
    <row r="737" spans="1:15" s="250" customFormat="1" ht="13.5" customHeight="1" x14ac:dyDescent="0.3">
      <c r="A737" s="185" t="s">
        <v>1933</v>
      </c>
      <c r="B737" s="251" t="s">
        <v>1523</v>
      </c>
      <c r="C737" s="187" t="s">
        <v>331</v>
      </c>
      <c r="D737" s="225" t="s">
        <v>2013</v>
      </c>
      <c r="E737" s="190" t="s">
        <v>5</v>
      </c>
      <c r="F737" s="227"/>
      <c r="G737" s="233">
        <v>44083</v>
      </c>
      <c r="H737" s="252">
        <v>810</v>
      </c>
      <c r="I737" s="188">
        <v>362.85</v>
      </c>
      <c r="J737" s="188">
        <f t="shared" si="21"/>
        <v>293908.5</v>
      </c>
      <c r="K737" s="232">
        <v>44084</v>
      </c>
      <c r="L737" s="192"/>
      <c r="M737" s="319">
        <v>44082</v>
      </c>
      <c r="N737" s="319"/>
      <c r="O737" s="319"/>
    </row>
    <row r="738" spans="1:15" s="250" customFormat="1" ht="13.5" customHeight="1" x14ac:dyDescent="0.3">
      <c r="A738" s="185" t="s">
        <v>1934</v>
      </c>
      <c r="B738" s="251" t="s">
        <v>1523</v>
      </c>
      <c r="C738" s="187" t="s">
        <v>331</v>
      </c>
      <c r="D738" s="225" t="s">
        <v>2014</v>
      </c>
      <c r="E738" s="190" t="s">
        <v>5</v>
      </c>
      <c r="F738" s="227"/>
      <c r="G738" s="233">
        <v>44083</v>
      </c>
      <c r="H738" s="252">
        <v>405</v>
      </c>
      <c r="I738" s="188">
        <v>360.68</v>
      </c>
      <c r="J738" s="188">
        <f t="shared" si="21"/>
        <v>146075.4</v>
      </c>
      <c r="K738" s="232">
        <v>44084</v>
      </c>
      <c r="L738" s="192"/>
      <c r="M738" s="319">
        <v>44082</v>
      </c>
      <c r="N738" s="319"/>
      <c r="O738" s="319"/>
    </row>
    <row r="739" spans="1:15" s="250" customFormat="1" ht="13.5" customHeight="1" x14ac:dyDescent="0.3">
      <c r="A739" s="185" t="s">
        <v>1840</v>
      </c>
      <c r="B739" s="251" t="s">
        <v>1649</v>
      </c>
      <c r="C739" s="187" t="s">
        <v>331</v>
      </c>
      <c r="D739" s="225" t="s">
        <v>1914</v>
      </c>
      <c r="E739" s="190">
        <v>30</v>
      </c>
      <c r="F739" s="227" t="s">
        <v>20</v>
      </c>
      <c r="G739" s="233">
        <v>44085</v>
      </c>
      <c r="H739" s="252">
        <v>475</v>
      </c>
      <c r="I739" s="188">
        <v>249.9</v>
      </c>
      <c r="J739" s="188">
        <f t="shared" si="21"/>
        <v>118702.5</v>
      </c>
      <c r="K739" s="232">
        <v>44085</v>
      </c>
      <c r="L739" s="192"/>
      <c r="M739" s="319">
        <v>44082</v>
      </c>
      <c r="N739" s="319"/>
      <c r="O739" s="319"/>
    </row>
    <row r="740" spans="1:15" s="250" customFormat="1" ht="13.5" customHeight="1" x14ac:dyDescent="0.3">
      <c r="A740" s="185" t="s">
        <v>1841</v>
      </c>
      <c r="B740" s="251" t="s">
        <v>1649</v>
      </c>
      <c r="C740" s="187" t="s">
        <v>331</v>
      </c>
      <c r="D740" s="225" t="s">
        <v>1915</v>
      </c>
      <c r="E740" s="190">
        <v>30</v>
      </c>
      <c r="F740" s="227" t="s">
        <v>20</v>
      </c>
      <c r="G740" s="233">
        <v>44085</v>
      </c>
      <c r="H740" s="252">
        <v>475</v>
      </c>
      <c r="I740" s="188">
        <v>249.9</v>
      </c>
      <c r="J740" s="188">
        <f t="shared" si="21"/>
        <v>118702.5</v>
      </c>
      <c r="K740" s="232">
        <v>44085</v>
      </c>
      <c r="L740" s="192"/>
      <c r="M740" s="319">
        <v>44082</v>
      </c>
      <c r="N740" s="319"/>
      <c r="O740" s="319"/>
    </row>
    <row r="741" spans="1:15" s="250" customFormat="1" ht="13.5" customHeight="1" x14ac:dyDescent="0.3">
      <c r="A741" s="185" t="s">
        <v>1529</v>
      </c>
      <c r="B741" s="251" t="s">
        <v>1388</v>
      </c>
      <c r="C741" s="187" t="s">
        <v>796</v>
      </c>
      <c r="D741" s="225" t="s">
        <v>552</v>
      </c>
      <c r="E741" s="190">
        <v>180</v>
      </c>
      <c r="F741" s="227" t="s">
        <v>20</v>
      </c>
      <c r="G741" s="233">
        <v>44084</v>
      </c>
      <c r="H741" s="252">
        <v>11000</v>
      </c>
      <c r="I741" s="188">
        <v>270</v>
      </c>
      <c r="J741" s="188">
        <f t="shared" si="21"/>
        <v>2970000</v>
      </c>
      <c r="K741" s="232">
        <v>44085</v>
      </c>
      <c r="L741" s="192"/>
      <c r="M741" s="318">
        <v>44082</v>
      </c>
      <c r="N741" s="318"/>
      <c r="O741" s="318"/>
    </row>
    <row r="742" spans="1:15" s="250" customFormat="1" ht="13.5" customHeight="1" x14ac:dyDescent="0.25">
      <c r="A742" s="185" t="s">
        <v>514</v>
      </c>
      <c r="B742" s="251" t="s">
        <v>1388</v>
      </c>
      <c r="C742" s="187" t="s">
        <v>796</v>
      </c>
      <c r="D742" s="225" t="s">
        <v>552</v>
      </c>
      <c r="E742" s="190"/>
      <c r="F742" s="227"/>
      <c r="G742" s="233">
        <v>44084</v>
      </c>
      <c r="H742" s="252">
        <v>11000</v>
      </c>
      <c r="I742" s="188">
        <v>-10</v>
      </c>
      <c r="J742" s="188">
        <f t="shared" si="21"/>
        <v>-110000</v>
      </c>
      <c r="K742" s="232">
        <v>44085</v>
      </c>
      <c r="L742" s="192"/>
      <c r="M742" s="318">
        <v>44082</v>
      </c>
      <c r="N742" s="318"/>
      <c r="O742" s="318"/>
    </row>
    <row r="743" spans="1:15" s="250" customFormat="1" ht="13.5" customHeight="1" x14ac:dyDescent="0.3">
      <c r="A743" s="185" t="s">
        <v>1632</v>
      </c>
      <c r="B743" s="251" t="s">
        <v>1600</v>
      </c>
      <c r="C743" s="187" t="s">
        <v>245</v>
      </c>
      <c r="D743" s="225" t="s">
        <v>1792</v>
      </c>
      <c r="E743" s="190">
        <v>120</v>
      </c>
      <c r="F743" s="227" t="s">
        <v>20</v>
      </c>
      <c r="G743" s="233">
        <v>44088</v>
      </c>
      <c r="H743" s="252">
        <v>308.01600000000002</v>
      </c>
      <c r="I743" s="188">
        <v>455</v>
      </c>
      <c r="J743" s="188">
        <f t="shared" si="21"/>
        <v>140147.28</v>
      </c>
      <c r="K743" s="232">
        <v>44091</v>
      </c>
      <c r="L743" s="192"/>
      <c r="M743" s="319">
        <v>44089</v>
      </c>
      <c r="N743" s="319"/>
      <c r="O743" s="319"/>
    </row>
    <row r="744" spans="1:15" s="250" customFormat="1" ht="13.5" customHeight="1" x14ac:dyDescent="0.25">
      <c r="A744" s="185" t="s">
        <v>514</v>
      </c>
      <c r="B744" s="251" t="s">
        <v>1278</v>
      </c>
      <c r="C744" s="187" t="s">
        <v>245</v>
      </c>
      <c r="D744" s="225" t="s">
        <v>1657</v>
      </c>
      <c r="E744" s="190"/>
      <c r="F744" s="227"/>
      <c r="G744" s="233">
        <v>44088</v>
      </c>
      <c r="H744" s="252"/>
      <c r="I744" s="188"/>
      <c r="J744" s="188">
        <v>-2147</v>
      </c>
      <c r="K744" s="232">
        <v>44091</v>
      </c>
      <c r="L744" s="192"/>
      <c r="M744" s="319">
        <v>44089</v>
      </c>
      <c r="N744" s="319"/>
      <c r="O744" s="319"/>
    </row>
    <row r="745" spans="1:15" s="250" customFormat="1" ht="13.5" customHeight="1" x14ac:dyDescent="0.3">
      <c r="A745" s="185" t="s">
        <v>1804</v>
      </c>
      <c r="B745" s="251" t="s">
        <v>1326</v>
      </c>
      <c r="C745" s="187" t="s">
        <v>1497</v>
      </c>
      <c r="D745" s="225" t="s">
        <v>1855</v>
      </c>
      <c r="E745" s="190">
        <v>90</v>
      </c>
      <c r="F745" s="227" t="s">
        <v>20</v>
      </c>
      <c r="G745" s="233">
        <v>44089</v>
      </c>
      <c r="H745" s="252">
        <v>1000</v>
      </c>
      <c r="I745" s="188">
        <v>453</v>
      </c>
      <c r="J745" s="188">
        <f>+I745*H745</f>
        <v>453000</v>
      </c>
      <c r="K745" s="232">
        <v>44091</v>
      </c>
      <c r="L745" s="192"/>
      <c r="M745" s="319">
        <v>44089</v>
      </c>
      <c r="N745" s="319"/>
      <c r="O745" s="319"/>
    </row>
    <row r="746" spans="1:15" s="250" customFormat="1" ht="13.5" customHeight="1" x14ac:dyDescent="0.3">
      <c r="A746" s="185" t="s">
        <v>1780</v>
      </c>
      <c r="B746" s="251" t="s">
        <v>1596</v>
      </c>
      <c r="C746" s="187" t="s">
        <v>664</v>
      </c>
      <c r="D746" s="225" t="s">
        <v>1923</v>
      </c>
      <c r="E746" s="190">
        <v>30</v>
      </c>
      <c r="F746" s="227" t="s">
        <v>20</v>
      </c>
      <c r="G746" s="233">
        <v>44089</v>
      </c>
      <c r="H746" s="252">
        <v>54</v>
      </c>
      <c r="I746" s="188">
        <v>280</v>
      </c>
      <c r="J746" s="188">
        <f>+I746*H746</f>
        <v>15120</v>
      </c>
      <c r="K746" s="232">
        <v>44091</v>
      </c>
      <c r="L746" s="192"/>
      <c r="M746" s="319">
        <v>44089</v>
      </c>
      <c r="N746" s="319"/>
      <c r="O746" s="319"/>
    </row>
    <row r="747" spans="1:15" s="250" customFormat="1" ht="13.5" customHeight="1" x14ac:dyDescent="0.3">
      <c r="A747" s="185" t="s">
        <v>1641</v>
      </c>
      <c r="B747" s="251" t="s">
        <v>1292</v>
      </c>
      <c r="C747" s="187" t="s">
        <v>280</v>
      </c>
      <c r="D747" s="225" t="s">
        <v>1796</v>
      </c>
      <c r="E747" s="190">
        <v>90</v>
      </c>
      <c r="F747" s="227" t="s">
        <v>20</v>
      </c>
      <c r="G747" s="233">
        <v>44092</v>
      </c>
      <c r="H747" s="252">
        <v>2400</v>
      </c>
      <c r="I747" s="188">
        <v>102</v>
      </c>
      <c r="J747" s="188">
        <f>+I747*H747</f>
        <v>244800</v>
      </c>
      <c r="K747" s="232">
        <v>44095</v>
      </c>
      <c r="L747" s="192"/>
      <c r="M747" s="321">
        <v>44089</v>
      </c>
      <c r="N747" s="321"/>
      <c r="O747" s="321"/>
    </row>
    <row r="748" spans="1:15" s="250" customFormat="1" ht="13.5" customHeight="1" x14ac:dyDescent="0.25">
      <c r="A748" s="185" t="s">
        <v>514</v>
      </c>
      <c r="B748" s="251" t="s">
        <v>552</v>
      </c>
      <c r="C748" s="187" t="s">
        <v>280</v>
      </c>
      <c r="D748" s="225"/>
      <c r="E748" s="190"/>
      <c r="F748" s="227"/>
      <c r="G748" s="233">
        <v>44092</v>
      </c>
      <c r="H748" s="252"/>
      <c r="I748" s="188"/>
      <c r="J748" s="188">
        <f>-4896-2602.73-2616</f>
        <v>-10114.73</v>
      </c>
      <c r="K748" s="232">
        <v>44095</v>
      </c>
      <c r="L748" s="192"/>
      <c r="M748" s="321">
        <v>44089</v>
      </c>
      <c r="N748" s="321"/>
      <c r="O748" s="321"/>
    </row>
    <row r="749" spans="1:15" s="250" customFormat="1" ht="13.5" customHeight="1" x14ac:dyDescent="0.3">
      <c r="A749" s="185" t="s">
        <v>1647</v>
      </c>
      <c r="B749" s="251" t="s">
        <v>502</v>
      </c>
      <c r="C749" s="187" t="s">
        <v>280</v>
      </c>
      <c r="D749" s="225" t="s">
        <v>1800</v>
      </c>
      <c r="E749" s="190">
        <v>90</v>
      </c>
      <c r="F749" s="227" t="s">
        <v>20</v>
      </c>
      <c r="G749" s="233">
        <v>44095</v>
      </c>
      <c r="H749" s="252">
        <v>301.2</v>
      </c>
      <c r="I749" s="188">
        <v>447</v>
      </c>
      <c r="J749" s="188">
        <v>134636.4</v>
      </c>
      <c r="K749" s="232">
        <v>44098</v>
      </c>
      <c r="L749" s="192"/>
      <c r="M749" s="321">
        <v>44097</v>
      </c>
      <c r="N749" s="320"/>
      <c r="O749" s="320"/>
    </row>
    <row r="750" spans="1:15" s="250" customFormat="1" ht="13.5" customHeight="1" x14ac:dyDescent="0.25">
      <c r="A750" s="185" t="s">
        <v>514</v>
      </c>
      <c r="B750" s="251" t="s">
        <v>502</v>
      </c>
      <c r="C750" s="187" t="s">
        <v>280</v>
      </c>
      <c r="D750" s="225"/>
      <c r="E750" s="190"/>
      <c r="F750" s="227"/>
      <c r="G750" s="233">
        <v>44095</v>
      </c>
      <c r="H750" s="252"/>
      <c r="I750" s="188"/>
      <c r="J750" s="188">
        <v>-554.4</v>
      </c>
      <c r="K750" s="232">
        <v>44098</v>
      </c>
      <c r="L750" s="192"/>
      <c r="M750" s="321">
        <v>44097</v>
      </c>
      <c r="N750" s="320"/>
      <c r="O750" s="320"/>
    </row>
    <row r="751" spans="1:15" s="250" customFormat="1" ht="13.5" customHeight="1" x14ac:dyDescent="0.3">
      <c r="A751" s="185" t="s">
        <v>1679</v>
      </c>
      <c r="B751" s="251" t="s">
        <v>1326</v>
      </c>
      <c r="C751" s="187" t="s">
        <v>1497</v>
      </c>
      <c r="D751" s="225" t="s">
        <v>1854</v>
      </c>
      <c r="E751" s="190">
        <v>90</v>
      </c>
      <c r="F751" s="227" t="s">
        <v>20</v>
      </c>
      <c r="G751" s="233">
        <v>44097</v>
      </c>
      <c r="H751" s="252">
        <v>500</v>
      </c>
      <c r="I751" s="188">
        <v>443</v>
      </c>
      <c r="J751" s="188">
        <v>221500</v>
      </c>
      <c r="K751" s="232">
        <v>44098</v>
      </c>
      <c r="L751" s="192"/>
      <c r="M751" s="321">
        <v>44097</v>
      </c>
      <c r="N751" s="320"/>
      <c r="O751" s="320"/>
    </row>
    <row r="752" spans="1:15" s="250" customFormat="1" ht="13.5" customHeight="1" x14ac:dyDescent="0.3">
      <c r="A752" s="185" t="s">
        <v>1718</v>
      </c>
      <c r="B752" s="251" t="s">
        <v>1293</v>
      </c>
      <c r="C752" s="187" t="s">
        <v>1721</v>
      </c>
      <c r="D752" s="225" t="s">
        <v>1875</v>
      </c>
      <c r="E752" s="190">
        <v>90</v>
      </c>
      <c r="F752" s="227" t="s">
        <v>20</v>
      </c>
      <c r="G752" s="233">
        <f>+K752+E752</f>
        <v>44189</v>
      </c>
      <c r="H752" s="252">
        <v>450</v>
      </c>
      <c r="I752" s="188">
        <v>228</v>
      </c>
      <c r="J752" s="188">
        <f>+I752*H752</f>
        <v>102600</v>
      </c>
      <c r="K752" s="232">
        <v>44099</v>
      </c>
      <c r="L752" s="192"/>
      <c r="M752" s="321">
        <v>44097</v>
      </c>
      <c r="N752" s="321"/>
      <c r="O752" s="321"/>
    </row>
    <row r="753" spans="1:15" s="250" customFormat="1" ht="13.5" customHeight="1" x14ac:dyDescent="0.3">
      <c r="A753" s="185" t="s">
        <v>1932</v>
      </c>
      <c r="B753" s="251" t="s">
        <v>1649</v>
      </c>
      <c r="C753" s="187" t="s">
        <v>331</v>
      </c>
      <c r="D753" s="225" t="s">
        <v>1957</v>
      </c>
      <c r="E753" s="190">
        <v>30</v>
      </c>
      <c r="F753" s="227" t="s">
        <v>20</v>
      </c>
      <c r="G753" s="233">
        <v>44099</v>
      </c>
      <c r="H753" s="252">
        <v>600</v>
      </c>
      <c r="I753" s="188">
        <v>249.9</v>
      </c>
      <c r="J753" s="188">
        <v>149940</v>
      </c>
      <c r="K753" s="232">
        <v>44099</v>
      </c>
      <c r="L753" s="192"/>
      <c r="M753" s="321">
        <v>44097</v>
      </c>
      <c r="N753" s="321"/>
      <c r="O753" s="321"/>
    </row>
    <row r="754" spans="1:15" s="250" customFormat="1" ht="13.5" customHeight="1" x14ac:dyDescent="0.3">
      <c r="A754" s="185" t="s">
        <v>1938</v>
      </c>
      <c r="B754" s="251" t="s">
        <v>1649</v>
      </c>
      <c r="C754" s="187" t="s">
        <v>331</v>
      </c>
      <c r="D754" s="225" t="s">
        <v>2015</v>
      </c>
      <c r="E754" s="190">
        <v>30</v>
      </c>
      <c r="F754" s="227" t="s">
        <v>20</v>
      </c>
      <c r="G754" s="233">
        <v>44099</v>
      </c>
      <c r="H754" s="252">
        <v>50</v>
      </c>
      <c r="I754" s="188">
        <v>249.9</v>
      </c>
      <c r="J754" s="188">
        <v>12495</v>
      </c>
      <c r="K754" s="232">
        <v>44099</v>
      </c>
      <c r="L754" s="192"/>
      <c r="M754" s="321">
        <v>44099</v>
      </c>
      <c r="N754" s="321"/>
      <c r="O754" s="321"/>
    </row>
    <row r="755" spans="1:15" s="250" customFormat="1" ht="13.5" customHeight="1" x14ac:dyDescent="0.3">
      <c r="A755" s="185" t="s">
        <v>1573</v>
      </c>
      <c r="B755" s="251" t="s">
        <v>1409</v>
      </c>
      <c r="C755" s="187" t="s">
        <v>50</v>
      </c>
      <c r="D755" s="225" t="s">
        <v>552</v>
      </c>
      <c r="E755" s="190">
        <v>150</v>
      </c>
      <c r="F755" s="227" t="s">
        <v>20</v>
      </c>
      <c r="G755" s="233">
        <v>44100</v>
      </c>
      <c r="H755" s="252">
        <v>5500</v>
      </c>
      <c r="I755" s="188">
        <v>273.39999999999998</v>
      </c>
      <c r="J755" s="188">
        <f>+I755*H755</f>
        <v>1503699.9999999998</v>
      </c>
      <c r="K755" s="232">
        <v>44102</v>
      </c>
      <c r="L755" s="192" t="s">
        <v>987</v>
      </c>
      <c r="M755" s="321">
        <v>44099</v>
      </c>
      <c r="N755" s="321"/>
      <c r="O755" s="321"/>
    </row>
    <row r="756" spans="1:15" s="250" customFormat="1" ht="13.5" customHeight="1" x14ac:dyDescent="0.3">
      <c r="A756" s="185" t="s">
        <v>1805</v>
      </c>
      <c r="B756" s="251" t="s">
        <v>1326</v>
      </c>
      <c r="C756" s="187" t="s">
        <v>1497</v>
      </c>
      <c r="D756" s="225" t="s">
        <v>1856</v>
      </c>
      <c r="E756" s="190">
        <v>90</v>
      </c>
      <c r="F756" s="227" t="s">
        <v>20</v>
      </c>
      <c r="G756" s="233">
        <v>44099</v>
      </c>
      <c r="H756" s="252">
        <v>1000</v>
      </c>
      <c r="I756" s="188">
        <v>453</v>
      </c>
      <c r="J756" s="188">
        <f>+I756*H756</f>
        <v>453000</v>
      </c>
      <c r="K756" s="232">
        <v>44102</v>
      </c>
      <c r="L756" s="192"/>
      <c r="M756" s="321">
        <v>44099</v>
      </c>
      <c r="N756" s="321"/>
      <c r="O756" s="321"/>
    </row>
    <row r="757" spans="1:15" s="250" customFormat="1" ht="13.5" customHeight="1" x14ac:dyDescent="0.3">
      <c r="A757" s="185" t="s">
        <v>1587</v>
      </c>
      <c r="B757" s="251" t="s">
        <v>1483</v>
      </c>
      <c r="C757" s="187" t="s">
        <v>1091</v>
      </c>
      <c r="D757" s="225" t="s">
        <v>1734</v>
      </c>
      <c r="E757" s="190">
        <v>150</v>
      </c>
      <c r="F757" s="227" t="s">
        <v>20</v>
      </c>
      <c r="G757" s="233">
        <v>44084</v>
      </c>
      <c r="H757" s="252">
        <v>1.7856000000000001</v>
      </c>
      <c r="I757" s="188">
        <v>41097.826928154565</v>
      </c>
      <c r="J757" s="188">
        <v>73384.279762912789</v>
      </c>
      <c r="K757" s="232">
        <v>44104</v>
      </c>
      <c r="L757" s="192"/>
      <c r="M757" s="321">
        <v>44082</v>
      </c>
      <c r="N757" s="321"/>
      <c r="O757" s="321"/>
    </row>
    <row r="758" spans="1:15" s="250" customFormat="1" ht="13.5" customHeight="1" x14ac:dyDescent="0.3">
      <c r="A758" s="185" t="s">
        <v>1588</v>
      </c>
      <c r="B758" s="251" t="s">
        <v>1481</v>
      </c>
      <c r="C758" s="187" t="s">
        <v>1091</v>
      </c>
      <c r="D758" s="225" t="s">
        <v>1734</v>
      </c>
      <c r="E758" s="190">
        <v>150</v>
      </c>
      <c r="F758" s="227" t="s">
        <v>20</v>
      </c>
      <c r="G758" s="233">
        <v>44084</v>
      </c>
      <c r="H758" s="252">
        <v>1.2</v>
      </c>
      <c r="I758" s="188">
        <v>4670.9790431837419</v>
      </c>
      <c r="J758" s="188">
        <v>5605.1748518204904</v>
      </c>
      <c r="K758" s="232">
        <v>44104</v>
      </c>
      <c r="L758" s="192"/>
      <c r="M758" s="321">
        <v>44082</v>
      </c>
      <c r="N758" s="321"/>
      <c r="O758" s="321"/>
    </row>
    <row r="759" spans="1:15" s="250" customFormat="1" ht="13.5" customHeight="1" x14ac:dyDescent="0.3">
      <c r="A759" s="185" t="s">
        <v>1589</v>
      </c>
      <c r="B759" s="251" t="s">
        <v>1602</v>
      </c>
      <c r="C759" s="187" t="s">
        <v>1091</v>
      </c>
      <c r="D759" s="225" t="s">
        <v>1734</v>
      </c>
      <c r="E759" s="190">
        <v>150</v>
      </c>
      <c r="F759" s="227" t="s">
        <v>20</v>
      </c>
      <c r="G759" s="233">
        <v>44084</v>
      </c>
      <c r="H759" s="252">
        <v>2.2000000000000002</v>
      </c>
      <c r="I759" s="188">
        <v>6170.9790431837419</v>
      </c>
      <c r="J759" s="188">
        <v>13576.153895004234</v>
      </c>
      <c r="K759" s="232">
        <v>44104</v>
      </c>
      <c r="L759" s="192"/>
      <c r="M759" s="321">
        <v>44082</v>
      </c>
      <c r="N759" s="321"/>
      <c r="O759" s="321"/>
    </row>
    <row r="760" spans="1:15" s="250" customFormat="1" ht="13.5" customHeight="1" x14ac:dyDescent="0.3">
      <c r="A760" s="185" t="s">
        <v>1590</v>
      </c>
      <c r="B760" s="251" t="s">
        <v>1603</v>
      </c>
      <c r="C760" s="187" t="s">
        <v>1091</v>
      </c>
      <c r="D760" s="225" t="s">
        <v>1734</v>
      </c>
      <c r="E760" s="190">
        <v>150</v>
      </c>
      <c r="F760" s="227" t="s">
        <v>20</v>
      </c>
      <c r="G760" s="233">
        <v>44084</v>
      </c>
      <c r="H760" s="252">
        <v>0.89280000000000004</v>
      </c>
      <c r="I760" s="188">
        <v>20398.902196971761</v>
      </c>
      <c r="J760" s="188">
        <v>18212.139881456391</v>
      </c>
      <c r="K760" s="232">
        <v>44104</v>
      </c>
      <c r="L760" s="192"/>
      <c r="M760" s="321">
        <v>44082</v>
      </c>
      <c r="N760" s="321"/>
      <c r="O760" s="321"/>
    </row>
    <row r="761" spans="1:15" s="250" customFormat="1" ht="13.5" customHeight="1" x14ac:dyDescent="0.3">
      <c r="A761" s="185" t="s">
        <v>1592</v>
      </c>
      <c r="B761" s="251" t="s">
        <v>1605</v>
      </c>
      <c r="C761" s="187" t="s">
        <v>1091</v>
      </c>
      <c r="D761" s="225" t="s">
        <v>1734</v>
      </c>
      <c r="E761" s="190">
        <v>150</v>
      </c>
      <c r="F761" s="227" t="s">
        <v>20</v>
      </c>
      <c r="G761" s="233">
        <v>44084</v>
      </c>
      <c r="H761" s="252">
        <v>1.00712</v>
      </c>
      <c r="I761" s="188">
        <v>7605.2659089299423</v>
      </c>
      <c r="J761" s="188">
        <v>7659.4154022015236</v>
      </c>
      <c r="K761" s="232">
        <v>44104</v>
      </c>
      <c r="L761" s="192"/>
      <c r="M761" s="321">
        <v>44082</v>
      </c>
      <c r="N761" s="321"/>
      <c r="O761" s="321"/>
    </row>
    <row r="762" spans="1:15" s="250" customFormat="1" ht="13.5" customHeight="1" x14ac:dyDescent="0.3">
      <c r="A762" s="185" t="s">
        <v>1918</v>
      </c>
      <c r="B762" s="251" t="s">
        <v>1595</v>
      </c>
      <c r="C762" s="187" t="s">
        <v>494</v>
      </c>
      <c r="D762" s="225" t="s">
        <v>552</v>
      </c>
      <c r="E762" s="190">
        <v>120</v>
      </c>
      <c r="F762" s="227" t="s">
        <v>20</v>
      </c>
      <c r="G762" s="233">
        <v>44110</v>
      </c>
      <c r="H762" s="252">
        <v>3300</v>
      </c>
      <c r="I762" s="188">
        <v>123.22</v>
      </c>
      <c r="J762" s="188">
        <v>406626</v>
      </c>
      <c r="K762" s="232">
        <v>44104</v>
      </c>
      <c r="L762" s="192"/>
      <c r="M762" s="321">
        <v>44104</v>
      </c>
      <c r="N762" s="321"/>
      <c r="O762" s="321"/>
    </row>
    <row r="763" spans="1:15" s="250" customFormat="1" ht="13.5" customHeight="1" x14ac:dyDescent="0.3">
      <c r="A763" s="185" t="s">
        <v>1821</v>
      </c>
      <c r="B763" s="251" t="s">
        <v>1595</v>
      </c>
      <c r="C763" s="187" t="s">
        <v>494</v>
      </c>
      <c r="D763" s="225" t="s">
        <v>552</v>
      </c>
      <c r="E763" s="190">
        <v>120</v>
      </c>
      <c r="F763" s="227" t="s">
        <v>20</v>
      </c>
      <c r="G763" s="233">
        <v>44110</v>
      </c>
      <c r="H763" s="252">
        <v>1600</v>
      </c>
      <c r="I763" s="188">
        <v>123.22</v>
      </c>
      <c r="J763" s="188">
        <v>197152</v>
      </c>
      <c r="K763" s="232">
        <v>44104</v>
      </c>
      <c r="L763" s="192"/>
      <c r="M763" s="321">
        <v>44104</v>
      </c>
      <c r="N763" s="321"/>
      <c r="O763" s="321"/>
    </row>
    <row r="764" spans="1:15" s="250" customFormat="1" ht="13.5" customHeight="1" x14ac:dyDescent="0.3">
      <c r="A764" s="185" t="s">
        <v>1822</v>
      </c>
      <c r="B764" s="251" t="s">
        <v>1387</v>
      </c>
      <c r="C764" s="187" t="s">
        <v>494</v>
      </c>
      <c r="D764" s="225" t="s">
        <v>552</v>
      </c>
      <c r="E764" s="190">
        <v>120</v>
      </c>
      <c r="F764" s="227" t="s">
        <v>20</v>
      </c>
      <c r="G764" s="233">
        <v>44110</v>
      </c>
      <c r="H764" s="252">
        <v>1500</v>
      </c>
      <c r="I764" s="188">
        <v>338.6</v>
      </c>
      <c r="J764" s="188">
        <v>507900.00000000006</v>
      </c>
      <c r="K764" s="232">
        <v>44104</v>
      </c>
      <c r="L764" s="192"/>
      <c r="M764" s="321">
        <v>44104</v>
      </c>
      <c r="N764" s="321"/>
      <c r="O764" s="321"/>
    </row>
    <row r="765" spans="1:15" s="250" customFormat="1" ht="13.5" customHeight="1" x14ac:dyDescent="0.3">
      <c r="A765" s="185" t="s">
        <v>1903</v>
      </c>
      <c r="B765" s="251" t="s">
        <v>1325</v>
      </c>
      <c r="C765" s="187" t="s">
        <v>16</v>
      </c>
      <c r="D765" s="225" t="s">
        <v>2096</v>
      </c>
      <c r="E765" s="190">
        <v>20</v>
      </c>
      <c r="F765" s="227" t="s">
        <v>20</v>
      </c>
      <c r="G765" s="233">
        <v>44104</v>
      </c>
      <c r="H765" s="252">
        <v>186.2</v>
      </c>
      <c r="I765" s="188">
        <v>837</v>
      </c>
      <c r="J765" s="188">
        <f>+I765*H765*0.5</f>
        <v>77924.7</v>
      </c>
      <c r="K765" s="232">
        <v>44104</v>
      </c>
      <c r="L765" s="192">
        <v>0.5</v>
      </c>
      <c r="M765" s="321">
        <v>44102</v>
      </c>
      <c r="N765" s="321"/>
      <c r="O765" s="321"/>
    </row>
    <row r="766" spans="1:15" s="250" customFormat="1" ht="13.5" customHeight="1" x14ac:dyDescent="0.3">
      <c r="A766" s="185" t="s">
        <v>1931</v>
      </c>
      <c r="B766" s="251" t="s">
        <v>1649</v>
      </c>
      <c r="C766" s="187" t="s">
        <v>331</v>
      </c>
      <c r="D766" s="225" t="s">
        <v>2045</v>
      </c>
      <c r="E766" s="190">
        <v>30</v>
      </c>
      <c r="F766" s="227" t="s">
        <v>20</v>
      </c>
      <c r="G766" s="233">
        <v>44109</v>
      </c>
      <c r="H766" s="252">
        <v>50</v>
      </c>
      <c r="I766" s="188">
        <v>249.9</v>
      </c>
      <c r="J766" s="188">
        <f>+I766*H766</f>
        <v>12495</v>
      </c>
      <c r="K766" s="232">
        <v>44104</v>
      </c>
      <c r="L766" s="192"/>
      <c r="M766" s="324">
        <v>44104</v>
      </c>
      <c r="N766" s="324"/>
      <c r="O766" s="324"/>
    </row>
    <row r="767" spans="1:15" s="250" customFormat="1" ht="13.5" customHeight="1" x14ac:dyDescent="0.3">
      <c r="A767" s="185" t="s">
        <v>1935</v>
      </c>
      <c r="B767" s="251" t="s">
        <v>1649</v>
      </c>
      <c r="C767" s="187" t="s">
        <v>331</v>
      </c>
      <c r="D767" s="225" t="s">
        <v>2006</v>
      </c>
      <c r="E767" s="190">
        <v>30</v>
      </c>
      <c r="F767" s="227" t="s">
        <v>20</v>
      </c>
      <c r="G767" s="233">
        <v>44108</v>
      </c>
      <c r="H767" s="252">
        <v>400</v>
      </c>
      <c r="I767" s="188">
        <v>235.1</v>
      </c>
      <c r="J767" s="188">
        <f>+I767*H767</f>
        <v>94040</v>
      </c>
      <c r="K767" s="232">
        <v>44104</v>
      </c>
      <c r="L767" s="192"/>
      <c r="M767" s="324">
        <v>44104</v>
      </c>
      <c r="N767" s="324"/>
      <c r="O767" s="324"/>
    </row>
    <row r="768" spans="1:15" s="250" customFormat="1" ht="13.5" customHeight="1" x14ac:dyDescent="0.3">
      <c r="A768" s="185" t="s">
        <v>1936</v>
      </c>
      <c r="B768" s="251" t="s">
        <v>1649</v>
      </c>
      <c r="C768" s="187" t="s">
        <v>331</v>
      </c>
      <c r="D768" s="225" t="s">
        <v>2002</v>
      </c>
      <c r="E768" s="190">
        <v>30</v>
      </c>
      <c r="F768" s="227" t="s">
        <v>20</v>
      </c>
      <c r="G768" s="233">
        <v>44106</v>
      </c>
      <c r="H768" s="252">
        <v>575</v>
      </c>
      <c r="I768" s="188">
        <v>235.1</v>
      </c>
      <c r="J768" s="188">
        <f>+I768*H768</f>
        <v>135182.5</v>
      </c>
      <c r="K768" s="232">
        <v>44104</v>
      </c>
      <c r="L768" s="192"/>
      <c r="M768" s="324">
        <v>44099</v>
      </c>
      <c r="N768" s="324"/>
      <c r="O768" s="324"/>
    </row>
    <row r="769" spans="1:15" s="250" customFormat="1" ht="13.5" customHeight="1" x14ac:dyDescent="0.3">
      <c r="A769" s="185" t="s">
        <v>1937</v>
      </c>
      <c r="B769" s="251" t="s">
        <v>1649</v>
      </c>
      <c r="C769" s="187" t="s">
        <v>331</v>
      </c>
      <c r="D769" s="225" t="s">
        <v>2046</v>
      </c>
      <c r="E769" s="190">
        <v>30</v>
      </c>
      <c r="F769" s="227" t="s">
        <v>20</v>
      </c>
      <c r="G769" s="233">
        <v>44113</v>
      </c>
      <c r="H769" s="252">
        <v>575</v>
      </c>
      <c r="I769" s="188">
        <v>235.1</v>
      </c>
      <c r="J769" s="188">
        <f>+I769*H769</f>
        <v>135182.5</v>
      </c>
      <c r="K769" s="232">
        <v>44104</v>
      </c>
      <c r="L769" s="192"/>
      <c r="M769" s="324">
        <v>44104</v>
      </c>
      <c r="N769" s="324"/>
      <c r="O769" s="324"/>
    </row>
    <row r="770" spans="1:15" s="250" customFormat="1" ht="13.5" customHeight="1" x14ac:dyDescent="0.3">
      <c r="A770" s="185" t="s">
        <v>1904</v>
      </c>
      <c r="B770" s="251" t="s">
        <v>1326</v>
      </c>
      <c r="C770" s="187" t="s">
        <v>905</v>
      </c>
      <c r="D770" s="225" t="s">
        <v>2095</v>
      </c>
      <c r="E770" s="190">
        <v>180</v>
      </c>
      <c r="F770" s="227" t="s">
        <v>20</v>
      </c>
      <c r="G770" s="233">
        <v>44276</v>
      </c>
      <c r="H770" s="252">
        <v>264</v>
      </c>
      <c r="I770" s="188">
        <f>+I784</f>
        <v>412.29</v>
      </c>
      <c r="J770" s="188">
        <f>+I770*H770</f>
        <v>108844.56000000001</v>
      </c>
      <c r="K770" s="232">
        <v>44110</v>
      </c>
      <c r="L770" s="192" t="s">
        <v>2353</v>
      </c>
      <c r="M770" s="335">
        <v>44102</v>
      </c>
      <c r="N770" s="335"/>
      <c r="O770" s="335"/>
    </row>
    <row r="771" spans="1:15" s="250" customFormat="1" ht="13.5" customHeight="1" x14ac:dyDescent="0.3">
      <c r="A771" s="185" t="s">
        <v>1906</v>
      </c>
      <c r="B771" s="251" t="s">
        <v>1326</v>
      </c>
      <c r="C771" s="187" t="s">
        <v>905</v>
      </c>
      <c r="D771" s="225" t="s">
        <v>2092</v>
      </c>
      <c r="E771" s="190">
        <v>180</v>
      </c>
      <c r="F771" s="227" t="s">
        <v>20</v>
      </c>
      <c r="G771" s="233">
        <v>44268</v>
      </c>
      <c r="H771" s="252">
        <v>408</v>
      </c>
      <c r="I771" s="188">
        <f>+J771/H771</f>
        <v>417.3817156862745</v>
      </c>
      <c r="J771" s="188">
        <v>170291.74</v>
      </c>
      <c r="K771" s="232">
        <v>44110</v>
      </c>
      <c r="L771" s="192" t="s">
        <v>2353</v>
      </c>
      <c r="M771" s="335">
        <v>44098</v>
      </c>
      <c r="N771" s="335"/>
      <c r="O771" s="335"/>
    </row>
    <row r="772" spans="1:15" s="250" customFormat="1" ht="13.5" customHeight="1" x14ac:dyDescent="0.3">
      <c r="A772" s="185" t="s">
        <v>1997</v>
      </c>
      <c r="B772" s="251" t="s">
        <v>1785</v>
      </c>
      <c r="C772" s="187" t="s">
        <v>331</v>
      </c>
      <c r="D772" s="225" t="s">
        <v>2128</v>
      </c>
      <c r="E772" s="190" t="s">
        <v>5</v>
      </c>
      <c r="F772" s="227"/>
      <c r="G772" s="233">
        <v>44111</v>
      </c>
      <c r="H772" s="252">
        <v>106.44</v>
      </c>
      <c r="I772" s="188">
        <v>301.05</v>
      </c>
      <c r="J772" s="188">
        <f>+I772*H772</f>
        <v>32043.761999999999</v>
      </c>
      <c r="K772" s="232">
        <v>44111</v>
      </c>
      <c r="L772" s="192"/>
      <c r="M772" s="326">
        <v>44109</v>
      </c>
      <c r="N772" s="326"/>
      <c r="O772" s="326"/>
    </row>
    <row r="773" spans="1:15" s="250" customFormat="1" ht="13.5" customHeight="1" x14ac:dyDescent="0.3">
      <c r="A773" s="185" t="s">
        <v>514</v>
      </c>
      <c r="B773" s="251" t="s">
        <v>1785</v>
      </c>
      <c r="C773" s="187" t="s">
        <v>331</v>
      </c>
      <c r="D773" s="225" t="s">
        <v>2106</v>
      </c>
      <c r="E773" s="190"/>
      <c r="F773" s="227"/>
      <c r="G773" s="233">
        <v>44111</v>
      </c>
      <c r="H773" s="252"/>
      <c r="I773" s="188"/>
      <c r="J773" s="188">
        <v>-2679.91</v>
      </c>
      <c r="K773" s="232">
        <v>44111</v>
      </c>
      <c r="L773" s="192"/>
      <c r="M773" s="326">
        <v>44109</v>
      </c>
      <c r="N773" s="326"/>
      <c r="O773" s="326"/>
    </row>
    <row r="774" spans="1:15" s="250" customFormat="1" ht="13.5" customHeight="1" x14ac:dyDescent="0.3">
      <c r="A774" s="185" t="s">
        <v>514</v>
      </c>
      <c r="B774" s="251" t="s">
        <v>1785</v>
      </c>
      <c r="C774" s="187" t="s">
        <v>331</v>
      </c>
      <c r="D774" s="225" t="s">
        <v>2107</v>
      </c>
      <c r="E774" s="190"/>
      <c r="F774" s="227"/>
      <c r="G774" s="233">
        <v>44111</v>
      </c>
      <c r="H774" s="252"/>
      <c r="I774" s="188"/>
      <c r="J774" s="188">
        <v>-3834.04</v>
      </c>
      <c r="K774" s="232">
        <v>44111</v>
      </c>
      <c r="L774" s="192"/>
      <c r="M774" s="326">
        <v>44109</v>
      </c>
      <c r="N774" s="326"/>
      <c r="O774" s="326"/>
    </row>
    <row r="775" spans="1:15" s="250" customFormat="1" ht="13.5" customHeight="1" x14ac:dyDescent="0.3">
      <c r="A775" s="185" t="s">
        <v>1813</v>
      </c>
      <c r="B775" s="251" t="s">
        <v>1785</v>
      </c>
      <c r="C775" s="187" t="s">
        <v>331</v>
      </c>
      <c r="D775" s="225" t="s">
        <v>2108</v>
      </c>
      <c r="E775" s="190"/>
      <c r="F775" s="227"/>
      <c r="G775" s="233">
        <v>44111</v>
      </c>
      <c r="H775" s="252"/>
      <c r="I775" s="188"/>
      <c r="J775" s="188">
        <v>1981.11</v>
      </c>
      <c r="K775" s="232">
        <v>44111</v>
      </c>
      <c r="L775" s="192"/>
      <c r="M775" s="326">
        <v>44109</v>
      </c>
      <c r="N775" s="326"/>
      <c r="O775" s="326"/>
    </row>
    <row r="776" spans="1:15" s="250" customFormat="1" ht="13.5" customHeight="1" x14ac:dyDescent="0.3">
      <c r="A776" s="185" t="s">
        <v>1998</v>
      </c>
      <c r="B776" s="251" t="s">
        <v>1785</v>
      </c>
      <c r="C776" s="187" t="s">
        <v>331</v>
      </c>
      <c r="D776" s="225" t="s">
        <v>2123</v>
      </c>
      <c r="E776" s="190" t="s">
        <v>5</v>
      </c>
      <c r="F776" s="227"/>
      <c r="G776" s="233">
        <v>44111</v>
      </c>
      <c r="H776" s="252">
        <v>53.89</v>
      </c>
      <c r="I776" s="188">
        <v>301.05</v>
      </c>
      <c r="J776" s="188">
        <f t="shared" ref="J776:J783" si="22">+I776*H776</f>
        <v>16223.584500000001</v>
      </c>
      <c r="K776" s="232">
        <v>44111</v>
      </c>
      <c r="L776" s="192"/>
      <c r="M776" s="326">
        <v>44109</v>
      </c>
      <c r="N776" s="326"/>
      <c r="O776" s="326"/>
    </row>
    <row r="777" spans="1:15" s="250" customFormat="1" ht="13.5" customHeight="1" x14ac:dyDescent="0.3">
      <c r="A777" s="185" t="s">
        <v>2007</v>
      </c>
      <c r="B777" s="251" t="s">
        <v>1785</v>
      </c>
      <c r="C777" s="187" t="s">
        <v>331</v>
      </c>
      <c r="D777" s="225" t="s">
        <v>2124</v>
      </c>
      <c r="E777" s="190" t="s">
        <v>5</v>
      </c>
      <c r="F777" s="227"/>
      <c r="G777" s="233">
        <v>44111</v>
      </c>
      <c r="H777" s="252">
        <v>267.27999999999997</v>
      </c>
      <c r="I777" s="188">
        <v>274.32</v>
      </c>
      <c r="J777" s="188">
        <f t="shared" si="22"/>
        <v>73320.249599999996</v>
      </c>
      <c r="K777" s="232">
        <v>44111</v>
      </c>
      <c r="L777" s="192"/>
      <c r="M777" s="326">
        <v>44109</v>
      </c>
      <c r="N777" s="326"/>
      <c r="O777" s="326"/>
    </row>
    <row r="778" spans="1:15" s="250" customFormat="1" ht="13.5" customHeight="1" x14ac:dyDescent="0.3">
      <c r="A778" s="185" t="s">
        <v>2008</v>
      </c>
      <c r="B778" s="251" t="s">
        <v>1785</v>
      </c>
      <c r="C778" s="187" t="s">
        <v>331</v>
      </c>
      <c r="D778" s="225" t="s">
        <v>2125</v>
      </c>
      <c r="E778" s="190" t="s">
        <v>5</v>
      </c>
      <c r="F778" s="227"/>
      <c r="G778" s="233">
        <v>44111</v>
      </c>
      <c r="H778" s="252">
        <v>133.27500000000001</v>
      </c>
      <c r="I778" s="188">
        <v>272.02</v>
      </c>
      <c r="J778" s="188">
        <f t="shared" si="22"/>
        <v>36253.465499999998</v>
      </c>
      <c r="K778" s="232">
        <v>44111</v>
      </c>
      <c r="L778" s="192"/>
      <c r="M778" s="326">
        <v>44109</v>
      </c>
      <c r="N778" s="326"/>
      <c r="O778" s="326"/>
    </row>
    <row r="779" spans="1:15" s="250" customFormat="1" ht="13.5" customHeight="1" x14ac:dyDescent="0.3">
      <c r="A779" s="185" t="s">
        <v>2009</v>
      </c>
      <c r="B779" s="251" t="s">
        <v>1785</v>
      </c>
      <c r="C779" s="187" t="s">
        <v>331</v>
      </c>
      <c r="D779" s="225" t="s">
        <v>2126</v>
      </c>
      <c r="E779" s="190" t="s">
        <v>5</v>
      </c>
      <c r="F779" s="227"/>
      <c r="G779" s="233">
        <v>44111</v>
      </c>
      <c r="H779" s="252">
        <v>52.95</v>
      </c>
      <c r="I779" s="188">
        <v>274.32</v>
      </c>
      <c r="J779" s="188">
        <f t="shared" si="22"/>
        <v>14525.244000000001</v>
      </c>
      <c r="K779" s="232">
        <v>44111</v>
      </c>
      <c r="L779" s="192"/>
      <c r="M779" s="326">
        <v>44109</v>
      </c>
      <c r="N779" s="326"/>
      <c r="O779" s="326"/>
    </row>
    <row r="780" spans="1:15" s="250" customFormat="1" ht="13.5" customHeight="1" x14ac:dyDescent="0.3">
      <c r="A780" s="185" t="s">
        <v>2035</v>
      </c>
      <c r="B780" s="251" t="s">
        <v>1785</v>
      </c>
      <c r="C780" s="187" t="s">
        <v>331</v>
      </c>
      <c r="D780" s="225" t="s">
        <v>2127</v>
      </c>
      <c r="E780" s="190" t="s">
        <v>5</v>
      </c>
      <c r="F780" s="227"/>
      <c r="G780" s="233">
        <v>44111</v>
      </c>
      <c r="H780" s="252">
        <v>133.315</v>
      </c>
      <c r="I780" s="188">
        <v>272.02</v>
      </c>
      <c r="J780" s="188">
        <f t="shared" si="22"/>
        <v>36264.346299999997</v>
      </c>
      <c r="K780" s="232">
        <v>44111</v>
      </c>
      <c r="L780" s="192"/>
      <c r="M780" s="326">
        <v>44109</v>
      </c>
      <c r="N780" s="326"/>
      <c r="O780" s="326"/>
    </row>
    <row r="781" spans="1:15" s="250" customFormat="1" ht="13.5" customHeight="1" x14ac:dyDescent="0.25">
      <c r="A781" s="185" t="s">
        <v>2036</v>
      </c>
      <c r="B781" s="251" t="s">
        <v>653</v>
      </c>
      <c r="C781" s="187" t="s">
        <v>1497</v>
      </c>
      <c r="D781" s="225" t="s">
        <v>2129</v>
      </c>
      <c r="E781" s="190" t="s">
        <v>5</v>
      </c>
      <c r="F781" s="227"/>
      <c r="G781" s="233">
        <v>44109</v>
      </c>
      <c r="H781" s="252">
        <v>200</v>
      </c>
      <c r="I781" s="188">
        <v>626</v>
      </c>
      <c r="J781" s="188">
        <f t="shared" si="22"/>
        <v>125200</v>
      </c>
      <c r="K781" s="232">
        <v>44117</v>
      </c>
      <c r="L781" s="192"/>
      <c r="M781" s="325">
        <v>44113</v>
      </c>
      <c r="N781" s="325"/>
      <c r="O781" s="325"/>
    </row>
    <row r="782" spans="1:15" s="250" customFormat="1" ht="13.5" customHeight="1" x14ac:dyDescent="0.25">
      <c r="A782" s="185" t="s">
        <v>2037</v>
      </c>
      <c r="B782" s="251" t="s">
        <v>653</v>
      </c>
      <c r="C782" s="187" t="s">
        <v>1497</v>
      </c>
      <c r="D782" s="225" t="s">
        <v>2130</v>
      </c>
      <c r="E782" s="190" t="s">
        <v>5</v>
      </c>
      <c r="F782" s="227"/>
      <c r="G782" s="233">
        <v>44109</v>
      </c>
      <c r="H782" s="252">
        <v>300</v>
      </c>
      <c r="I782" s="188">
        <v>630</v>
      </c>
      <c r="J782" s="188">
        <f t="shared" si="22"/>
        <v>189000</v>
      </c>
      <c r="K782" s="232">
        <v>44117</v>
      </c>
      <c r="L782" s="192"/>
      <c r="M782" s="325">
        <v>44113</v>
      </c>
      <c r="N782" s="325"/>
      <c r="O782" s="325"/>
    </row>
    <row r="783" spans="1:15" s="250" customFormat="1" ht="13.5" customHeight="1" x14ac:dyDescent="0.25">
      <c r="A783" s="185" t="s">
        <v>2038</v>
      </c>
      <c r="B783" s="251" t="s">
        <v>653</v>
      </c>
      <c r="C783" s="187" t="s">
        <v>1497</v>
      </c>
      <c r="D783" s="225" t="s">
        <v>2131</v>
      </c>
      <c r="E783" s="190" t="s">
        <v>5</v>
      </c>
      <c r="F783" s="227"/>
      <c r="G783" s="233">
        <v>44109</v>
      </c>
      <c r="H783" s="252">
        <v>100</v>
      </c>
      <c r="I783" s="188">
        <v>634</v>
      </c>
      <c r="J783" s="188">
        <f t="shared" si="22"/>
        <v>63400</v>
      </c>
      <c r="K783" s="232">
        <v>44117</v>
      </c>
      <c r="L783" s="192"/>
      <c r="M783" s="325">
        <v>44113</v>
      </c>
      <c r="N783" s="325"/>
      <c r="O783" s="325"/>
    </row>
    <row r="784" spans="1:15" s="250" customFormat="1" ht="13.5" customHeight="1" x14ac:dyDescent="0.3">
      <c r="A784" s="185" t="s">
        <v>1905</v>
      </c>
      <c r="B784" s="251" t="s">
        <v>1326</v>
      </c>
      <c r="C784" s="187" t="s">
        <v>905</v>
      </c>
      <c r="D784" s="225" t="s">
        <v>2139</v>
      </c>
      <c r="E784" s="190">
        <v>180</v>
      </c>
      <c r="F784" s="227" t="s">
        <v>20</v>
      </c>
      <c r="G784" s="233">
        <v>44283</v>
      </c>
      <c r="H784" s="252">
        <v>240</v>
      </c>
      <c r="I784" s="188">
        <f>+J784/H784</f>
        <v>412.29</v>
      </c>
      <c r="J784" s="188">
        <v>98949.6</v>
      </c>
      <c r="K784" s="232">
        <v>44118</v>
      </c>
      <c r="L784" s="192" t="s">
        <v>2353</v>
      </c>
      <c r="M784" s="335">
        <v>44125</v>
      </c>
      <c r="N784" s="335"/>
      <c r="O784" s="335"/>
    </row>
    <row r="785" spans="1:15" s="250" customFormat="1" ht="13.5" customHeight="1" x14ac:dyDescent="0.3">
      <c r="A785" s="185" t="s">
        <v>1892</v>
      </c>
      <c r="B785" s="251" t="s">
        <v>1325</v>
      </c>
      <c r="C785" s="187" t="s">
        <v>16</v>
      </c>
      <c r="D785" s="225" t="s">
        <v>2115</v>
      </c>
      <c r="E785" s="190">
        <v>30</v>
      </c>
      <c r="F785" s="227" t="s">
        <v>20</v>
      </c>
      <c r="G785" s="233">
        <v>44119</v>
      </c>
      <c r="H785" s="252">
        <v>212.8</v>
      </c>
      <c r="I785" s="188">
        <v>817</v>
      </c>
      <c r="J785" s="188">
        <v>139086.08000000002</v>
      </c>
      <c r="K785" s="232">
        <v>44123</v>
      </c>
      <c r="L785" s="192"/>
      <c r="M785" s="330">
        <v>44109</v>
      </c>
      <c r="N785" s="330"/>
      <c r="O785" s="330"/>
    </row>
    <row r="786" spans="1:15" s="250" customFormat="1" ht="13.5" customHeight="1" x14ac:dyDescent="0.3">
      <c r="A786" s="185" t="s">
        <v>1894</v>
      </c>
      <c r="B786" s="251" t="s">
        <v>1325</v>
      </c>
      <c r="C786" s="187" t="s">
        <v>16</v>
      </c>
      <c r="D786" s="225" t="s">
        <v>2097</v>
      </c>
      <c r="E786" s="190">
        <v>30</v>
      </c>
      <c r="F786" s="227" t="s">
        <v>20</v>
      </c>
      <c r="G786" s="233">
        <v>44113</v>
      </c>
      <c r="H786" s="252">
        <v>212.8</v>
      </c>
      <c r="I786" s="188">
        <v>807</v>
      </c>
      <c r="J786" s="188">
        <v>137383.68000000002</v>
      </c>
      <c r="K786" s="232">
        <v>44123</v>
      </c>
      <c r="L786" s="192"/>
      <c r="M786" s="330">
        <v>44109</v>
      </c>
      <c r="N786" s="330"/>
      <c r="O786" s="330"/>
    </row>
    <row r="787" spans="1:15" s="250" customFormat="1" ht="13.5" customHeight="1" x14ac:dyDescent="0.3">
      <c r="A787" s="185" t="s">
        <v>1694</v>
      </c>
      <c r="B787" s="251" t="s">
        <v>502</v>
      </c>
      <c r="C787" s="187" t="s">
        <v>280</v>
      </c>
      <c r="D787" s="225" t="s">
        <v>1857</v>
      </c>
      <c r="E787" s="190">
        <v>90</v>
      </c>
      <c r="F787" s="227" t="s">
        <v>20</v>
      </c>
      <c r="G787" s="233">
        <v>44119</v>
      </c>
      <c r="H787" s="252">
        <v>300</v>
      </c>
      <c r="I787" s="188">
        <v>436</v>
      </c>
      <c r="J787" s="188">
        <f t="shared" ref="J787:J793" si="23">+I787*H787</f>
        <v>130800</v>
      </c>
      <c r="K787" s="232">
        <v>44123</v>
      </c>
      <c r="L787" s="192"/>
      <c r="M787" s="330">
        <v>44109</v>
      </c>
      <c r="N787" s="330"/>
      <c r="O787" s="330"/>
    </row>
    <row r="788" spans="1:15" s="250" customFormat="1" ht="13.5" customHeight="1" x14ac:dyDescent="0.3">
      <c r="A788" s="185" t="s">
        <v>1613</v>
      </c>
      <c r="B788" s="251" t="s">
        <v>1387</v>
      </c>
      <c r="C788" s="187" t="s">
        <v>27</v>
      </c>
      <c r="D788" s="225" t="s">
        <v>552</v>
      </c>
      <c r="E788" s="190">
        <v>180</v>
      </c>
      <c r="F788" s="227" t="s">
        <v>45</v>
      </c>
      <c r="G788" s="233">
        <v>44120</v>
      </c>
      <c r="H788" s="252">
        <v>1500</v>
      </c>
      <c r="I788" s="188">
        <f>324</f>
        <v>324</v>
      </c>
      <c r="J788" s="188">
        <f t="shared" si="23"/>
        <v>486000</v>
      </c>
      <c r="K788" s="232">
        <v>44123</v>
      </c>
      <c r="L788" s="192"/>
      <c r="M788" s="330">
        <v>44109</v>
      </c>
      <c r="N788" s="330"/>
      <c r="O788" s="330"/>
    </row>
    <row r="789" spans="1:15" s="250" customFormat="1" ht="13.5" customHeight="1" x14ac:dyDescent="0.3">
      <c r="A789" s="185" t="s">
        <v>1813</v>
      </c>
      <c r="B789" s="251" t="s">
        <v>1387</v>
      </c>
      <c r="C789" s="187" t="s">
        <v>27</v>
      </c>
      <c r="D789" s="225" t="s">
        <v>1814</v>
      </c>
      <c r="E789" s="190"/>
      <c r="F789" s="227"/>
      <c r="G789" s="233">
        <v>44120</v>
      </c>
      <c r="H789" s="252">
        <v>1500</v>
      </c>
      <c r="I789" s="188">
        <v>21.66</v>
      </c>
      <c r="J789" s="188">
        <f t="shared" si="23"/>
        <v>32490</v>
      </c>
      <c r="K789" s="232">
        <v>44123</v>
      </c>
      <c r="L789" s="192"/>
      <c r="M789" s="330">
        <v>44109</v>
      </c>
      <c r="N789" s="330"/>
      <c r="O789" s="330"/>
    </row>
    <row r="790" spans="1:15" s="250" customFormat="1" ht="13.5" customHeight="1" x14ac:dyDescent="0.3">
      <c r="A790" s="185" t="s">
        <v>1776</v>
      </c>
      <c r="B790" s="251" t="s">
        <v>1600</v>
      </c>
      <c r="C790" s="187" t="s">
        <v>1485</v>
      </c>
      <c r="D790" s="225" t="s">
        <v>1876</v>
      </c>
      <c r="E790" s="190">
        <v>90</v>
      </c>
      <c r="F790" s="227" t="s">
        <v>20</v>
      </c>
      <c r="G790" s="233">
        <v>44120</v>
      </c>
      <c r="H790" s="252">
        <v>192.5</v>
      </c>
      <c r="I790" s="188">
        <v>431</v>
      </c>
      <c r="J790" s="188">
        <f t="shared" si="23"/>
        <v>82967.5</v>
      </c>
      <c r="K790" s="232">
        <v>44123</v>
      </c>
      <c r="L790" s="192"/>
      <c r="M790" s="330">
        <v>44109</v>
      </c>
      <c r="N790" s="330"/>
      <c r="O790" s="330"/>
    </row>
    <row r="791" spans="1:15" s="250" customFormat="1" ht="13.5" customHeight="1" x14ac:dyDescent="0.3">
      <c r="A791" s="185" t="s">
        <v>1781</v>
      </c>
      <c r="B791" s="251" t="s">
        <v>653</v>
      </c>
      <c r="C791" s="187" t="s">
        <v>1497</v>
      </c>
      <c r="D791" s="225" t="s">
        <v>1858</v>
      </c>
      <c r="E791" s="190">
        <v>90</v>
      </c>
      <c r="F791" s="227" t="s">
        <v>20</v>
      </c>
      <c r="G791" s="233">
        <v>44122</v>
      </c>
      <c r="H791" s="252">
        <v>96</v>
      </c>
      <c r="I791" s="188">
        <v>655</v>
      </c>
      <c r="J791" s="188">
        <f t="shared" si="23"/>
        <v>62880</v>
      </c>
      <c r="K791" s="232">
        <v>44123</v>
      </c>
      <c r="L791" s="192"/>
      <c r="M791" s="330">
        <v>44109</v>
      </c>
      <c r="N791" s="330"/>
      <c r="O791" s="330"/>
    </row>
    <row r="792" spans="1:15" s="250" customFormat="1" ht="13.5" customHeight="1" x14ac:dyDescent="0.3">
      <c r="A792" s="185" t="s">
        <v>1766</v>
      </c>
      <c r="B792" s="251" t="s">
        <v>653</v>
      </c>
      <c r="C792" s="187" t="s">
        <v>1496</v>
      </c>
      <c r="D792" s="225" t="s">
        <v>1786</v>
      </c>
      <c r="E792" s="190">
        <v>120</v>
      </c>
      <c r="F792" s="227" t="s">
        <v>20</v>
      </c>
      <c r="G792" s="233">
        <v>44125</v>
      </c>
      <c r="H792" s="252">
        <v>408</v>
      </c>
      <c r="I792" s="188">
        <v>675</v>
      </c>
      <c r="J792" s="188">
        <f t="shared" si="23"/>
        <v>275400</v>
      </c>
      <c r="K792" s="232">
        <v>44126</v>
      </c>
      <c r="L792" s="192"/>
      <c r="M792" s="328">
        <v>44120</v>
      </c>
      <c r="N792" s="328"/>
      <c r="O792" s="328"/>
    </row>
    <row r="793" spans="1:15" s="250" customFormat="1" ht="13.5" customHeight="1" x14ac:dyDescent="0.3">
      <c r="A793" s="185" t="s">
        <v>1775</v>
      </c>
      <c r="B793" s="251" t="s">
        <v>1295</v>
      </c>
      <c r="C793" s="187" t="s">
        <v>1497</v>
      </c>
      <c r="D793" s="225" t="s">
        <v>1922</v>
      </c>
      <c r="E793" s="190">
        <v>90</v>
      </c>
      <c r="F793" s="227" t="s">
        <v>20</v>
      </c>
      <c r="G793" s="233">
        <v>44127</v>
      </c>
      <c r="H793" s="252">
        <v>200</v>
      </c>
      <c r="I793" s="188">
        <v>593.5</v>
      </c>
      <c r="J793" s="188">
        <f t="shared" si="23"/>
        <v>118700</v>
      </c>
      <c r="K793" s="232">
        <v>44126</v>
      </c>
      <c r="L793" s="192"/>
      <c r="M793" s="330">
        <v>44120</v>
      </c>
      <c r="N793" s="330"/>
      <c r="O793" s="330"/>
    </row>
    <row r="794" spans="1:15" s="250" customFormat="1" ht="13.5" customHeight="1" x14ac:dyDescent="0.3">
      <c r="A794" s="185" t="s">
        <v>1893</v>
      </c>
      <c r="B794" s="251" t="s">
        <v>1325</v>
      </c>
      <c r="C794" s="187" t="s">
        <v>16</v>
      </c>
      <c r="D794" s="225" t="s">
        <v>2138</v>
      </c>
      <c r="E794" s="190">
        <v>30</v>
      </c>
      <c r="F794" s="227" t="s">
        <v>20</v>
      </c>
      <c r="G794" s="233">
        <f>+K794+E794</f>
        <v>44156</v>
      </c>
      <c r="H794" s="252">
        <v>212.8</v>
      </c>
      <c r="I794" s="188">
        <v>817</v>
      </c>
      <c r="J794" s="188">
        <f>+I794*H794*0.8</f>
        <v>139086.08000000002</v>
      </c>
      <c r="K794" s="232">
        <v>44126</v>
      </c>
      <c r="L794" s="192"/>
      <c r="M794" s="330">
        <v>44120</v>
      </c>
      <c r="N794" s="330"/>
      <c r="O794" s="330"/>
    </row>
    <row r="795" spans="1:15" s="250" customFormat="1" ht="13.5" customHeight="1" x14ac:dyDescent="0.3">
      <c r="A795" s="185" t="s">
        <v>1907</v>
      </c>
      <c r="B795" s="251" t="s">
        <v>1326</v>
      </c>
      <c r="C795" s="187" t="s">
        <v>905</v>
      </c>
      <c r="D795" s="225" t="s">
        <v>2140</v>
      </c>
      <c r="E795" s="190">
        <v>180</v>
      </c>
      <c r="F795" s="227" t="s">
        <v>20</v>
      </c>
      <c r="G795" s="233">
        <v>44289</v>
      </c>
      <c r="H795" s="252">
        <v>408</v>
      </c>
      <c r="I795" s="188">
        <f>+I771</f>
        <v>417.3817156862745</v>
      </c>
      <c r="J795" s="188">
        <f>+I795*H795</f>
        <v>170291.74</v>
      </c>
      <c r="K795" s="232">
        <v>44126</v>
      </c>
      <c r="L795" s="192" t="s">
        <v>2353</v>
      </c>
      <c r="M795" s="335">
        <v>44125</v>
      </c>
      <c r="N795" s="335"/>
      <c r="O795" s="335"/>
    </row>
    <row r="796" spans="1:15" s="250" customFormat="1" ht="13.5" customHeight="1" x14ac:dyDescent="0.3">
      <c r="A796" s="185" t="s">
        <v>1908</v>
      </c>
      <c r="B796" s="251" t="s">
        <v>1326</v>
      </c>
      <c r="C796" s="187" t="s">
        <v>905</v>
      </c>
      <c r="D796" s="225" t="s">
        <v>2234</v>
      </c>
      <c r="E796" s="190">
        <v>180</v>
      </c>
      <c r="F796" s="227" t="s">
        <v>20</v>
      </c>
      <c r="G796" s="233">
        <v>44284</v>
      </c>
      <c r="H796" s="252">
        <v>192</v>
      </c>
      <c r="I796" s="188">
        <f>+I795</f>
        <v>417.3817156862745</v>
      </c>
      <c r="J796" s="188">
        <f>+I796*H796</f>
        <v>80137.289411764708</v>
      </c>
      <c r="K796" s="232">
        <v>44132</v>
      </c>
      <c r="L796" s="192" t="s">
        <v>2353</v>
      </c>
      <c r="M796" s="335">
        <v>44125</v>
      </c>
      <c r="N796" s="335"/>
      <c r="O796" s="335"/>
    </row>
    <row r="797" spans="1:15" s="250" customFormat="1" ht="13.5" customHeight="1" x14ac:dyDescent="0.25">
      <c r="A797" s="185" t="s">
        <v>1950</v>
      </c>
      <c r="B797" s="251" t="s">
        <v>1439</v>
      </c>
      <c r="C797" s="187" t="s">
        <v>27</v>
      </c>
      <c r="D797" s="225" t="s">
        <v>552</v>
      </c>
      <c r="E797" s="190" t="s">
        <v>5</v>
      </c>
      <c r="F797" s="227"/>
      <c r="G797" s="233">
        <v>44131</v>
      </c>
      <c r="H797" s="252">
        <v>1000.8</v>
      </c>
      <c r="I797" s="188">
        <v>172</v>
      </c>
      <c r="J797" s="188">
        <v>172137.60000000001</v>
      </c>
      <c r="K797" s="232">
        <v>44133</v>
      </c>
      <c r="L797" s="192"/>
      <c r="M797" s="332">
        <v>44130</v>
      </c>
      <c r="N797" s="332"/>
      <c r="O797" s="332"/>
    </row>
    <row r="798" spans="1:15" s="250" customFormat="1" ht="13.5" customHeight="1" x14ac:dyDescent="0.3">
      <c r="A798" s="185" t="s">
        <v>1987</v>
      </c>
      <c r="B798" s="251" t="s">
        <v>1295</v>
      </c>
      <c r="C798" s="187" t="s">
        <v>27</v>
      </c>
      <c r="D798" s="225" t="s">
        <v>2318</v>
      </c>
      <c r="E798" s="190" t="s">
        <v>5</v>
      </c>
      <c r="F798" s="227"/>
      <c r="G798" s="233">
        <v>44131</v>
      </c>
      <c r="H798" s="252">
        <v>200</v>
      </c>
      <c r="I798" s="188">
        <v>585</v>
      </c>
      <c r="J798" s="188">
        <v>117000</v>
      </c>
      <c r="K798" s="232">
        <v>44133</v>
      </c>
      <c r="L798" s="192"/>
      <c r="M798" s="332">
        <v>44130</v>
      </c>
      <c r="N798" s="332"/>
      <c r="O798" s="332"/>
    </row>
    <row r="799" spans="1:15" s="250" customFormat="1" ht="13.5" customHeight="1" x14ac:dyDescent="0.3">
      <c r="A799" s="185" t="s">
        <v>1988</v>
      </c>
      <c r="B799" s="251" t="s">
        <v>1295</v>
      </c>
      <c r="C799" s="187" t="s">
        <v>27</v>
      </c>
      <c r="D799" s="225" t="s">
        <v>2319</v>
      </c>
      <c r="E799" s="190" t="s">
        <v>5</v>
      </c>
      <c r="F799" s="227"/>
      <c r="G799" s="233">
        <v>44131</v>
      </c>
      <c r="H799" s="252">
        <v>300</v>
      </c>
      <c r="I799" s="188">
        <v>585</v>
      </c>
      <c r="J799" s="188">
        <v>175500</v>
      </c>
      <c r="K799" s="232">
        <v>44133</v>
      </c>
      <c r="L799" s="192"/>
      <c r="M799" s="332">
        <v>44130</v>
      </c>
      <c r="N799" s="332"/>
      <c r="O799" s="332"/>
    </row>
    <row r="800" spans="1:15" s="250" customFormat="1" ht="13.5" customHeight="1" x14ac:dyDescent="0.3">
      <c r="A800" s="185" t="s">
        <v>1989</v>
      </c>
      <c r="B800" s="251" t="s">
        <v>1295</v>
      </c>
      <c r="C800" s="187" t="s">
        <v>27</v>
      </c>
      <c r="D800" s="225" t="s">
        <v>2320</v>
      </c>
      <c r="E800" s="190" t="s">
        <v>5</v>
      </c>
      <c r="F800" s="227"/>
      <c r="G800" s="233">
        <v>44131</v>
      </c>
      <c r="H800" s="252">
        <v>200</v>
      </c>
      <c r="I800" s="188">
        <v>585</v>
      </c>
      <c r="J800" s="188">
        <v>117000</v>
      </c>
      <c r="K800" s="232">
        <v>44133</v>
      </c>
      <c r="L800" s="192"/>
      <c r="M800" s="332">
        <v>44130</v>
      </c>
      <c r="N800" s="332"/>
      <c r="O800" s="332"/>
    </row>
    <row r="801" spans="1:15" s="250" customFormat="1" ht="13.5" customHeight="1" x14ac:dyDescent="0.3">
      <c r="A801" s="185" t="s">
        <v>1990</v>
      </c>
      <c r="B801" s="251" t="s">
        <v>1295</v>
      </c>
      <c r="C801" s="187" t="s">
        <v>27</v>
      </c>
      <c r="D801" s="225" t="s">
        <v>2321</v>
      </c>
      <c r="E801" s="190" t="s">
        <v>5</v>
      </c>
      <c r="F801" s="227"/>
      <c r="G801" s="233">
        <v>44131</v>
      </c>
      <c r="H801" s="252">
        <v>200</v>
      </c>
      <c r="I801" s="188">
        <v>585</v>
      </c>
      <c r="J801" s="188">
        <v>117000</v>
      </c>
      <c r="K801" s="232">
        <v>44133</v>
      </c>
      <c r="L801" s="192"/>
      <c r="M801" s="332">
        <v>44130</v>
      </c>
      <c r="N801" s="332"/>
      <c r="O801" s="332"/>
    </row>
    <row r="802" spans="1:15" s="250" customFormat="1" ht="13.5" customHeight="1" x14ac:dyDescent="0.25">
      <c r="A802" s="185" t="s">
        <v>1991</v>
      </c>
      <c r="B802" s="251" t="s">
        <v>1687</v>
      </c>
      <c r="C802" s="187" t="s">
        <v>27</v>
      </c>
      <c r="D802" s="225" t="s">
        <v>2322</v>
      </c>
      <c r="E802" s="190" t="s">
        <v>5</v>
      </c>
      <c r="F802" s="227"/>
      <c r="G802" s="233">
        <v>44131</v>
      </c>
      <c r="H802" s="252">
        <v>200</v>
      </c>
      <c r="I802" s="188">
        <v>1047</v>
      </c>
      <c r="J802" s="188">
        <v>209400</v>
      </c>
      <c r="K802" s="232">
        <v>44133</v>
      </c>
      <c r="L802" s="192"/>
      <c r="M802" s="332">
        <v>44130</v>
      </c>
      <c r="N802" s="332"/>
      <c r="O802" s="332"/>
    </row>
    <row r="803" spans="1:15" s="250" customFormat="1" ht="13.5" customHeight="1" x14ac:dyDescent="0.25">
      <c r="A803" s="185" t="s">
        <v>1992</v>
      </c>
      <c r="B803" s="251" t="s">
        <v>1687</v>
      </c>
      <c r="C803" s="187" t="s">
        <v>27</v>
      </c>
      <c r="D803" s="225" t="s">
        <v>2323</v>
      </c>
      <c r="E803" s="190" t="s">
        <v>5</v>
      </c>
      <c r="F803" s="227"/>
      <c r="G803" s="233">
        <v>44131</v>
      </c>
      <c r="H803" s="252">
        <v>92.5</v>
      </c>
      <c r="I803" s="188">
        <v>1047</v>
      </c>
      <c r="J803" s="188">
        <v>96847.5</v>
      </c>
      <c r="K803" s="232">
        <v>44133</v>
      </c>
      <c r="L803" s="192"/>
      <c r="M803" s="332">
        <v>44130</v>
      </c>
      <c r="N803" s="332"/>
      <c r="O803" s="332"/>
    </row>
    <row r="804" spans="1:15" s="250" customFormat="1" ht="13.5" customHeight="1" x14ac:dyDescent="0.25">
      <c r="A804" s="185" t="s">
        <v>2281</v>
      </c>
      <c r="B804" s="251" t="s">
        <v>1999</v>
      </c>
      <c r="C804" s="187" t="s">
        <v>27</v>
      </c>
      <c r="D804" s="225" t="s">
        <v>2324</v>
      </c>
      <c r="E804" s="190" t="s">
        <v>5</v>
      </c>
      <c r="F804" s="227"/>
      <c r="G804" s="233">
        <v>44131</v>
      </c>
      <c r="H804" s="252">
        <v>50</v>
      </c>
      <c r="I804" s="188">
        <v>110</v>
      </c>
      <c r="J804" s="188">
        <v>5500</v>
      </c>
      <c r="K804" s="232">
        <v>44133</v>
      </c>
      <c r="L804" s="192"/>
      <c r="M804" s="332">
        <v>44130</v>
      </c>
      <c r="N804" s="332"/>
      <c r="O804" s="332"/>
    </row>
    <row r="805" spans="1:15" s="250" customFormat="1" ht="13.5" customHeight="1" x14ac:dyDescent="0.25">
      <c r="A805" s="185" t="s">
        <v>2282</v>
      </c>
      <c r="B805" s="251" t="s">
        <v>1999</v>
      </c>
      <c r="C805" s="187" t="s">
        <v>27</v>
      </c>
      <c r="D805" s="225" t="s">
        <v>2325</v>
      </c>
      <c r="E805" s="190" t="s">
        <v>5</v>
      </c>
      <c r="F805" s="227"/>
      <c r="G805" s="233">
        <v>44131</v>
      </c>
      <c r="H805" s="252">
        <v>70</v>
      </c>
      <c r="I805" s="188">
        <v>110</v>
      </c>
      <c r="J805" s="188">
        <v>7700</v>
      </c>
      <c r="K805" s="232">
        <v>44133</v>
      </c>
      <c r="L805" s="192"/>
      <c r="M805" s="332">
        <v>44130</v>
      </c>
      <c r="N805" s="332"/>
      <c r="O805" s="332"/>
    </row>
    <row r="806" spans="1:15" s="250" customFormat="1" ht="13.5" customHeight="1" x14ac:dyDescent="0.25">
      <c r="A806" s="185" t="s">
        <v>2283</v>
      </c>
      <c r="B806" s="251" t="s">
        <v>1999</v>
      </c>
      <c r="C806" s="187" t="s">
        <v>27</v>
      </c>
      <c r="D806" s="225" t="s">
        <v>2326</v>
      </c>
      <c r="E806" s="190" t="s">
        <v>5</v>
      </c>
      <c r="F806" s="227"/>
      <c r="G806" s="233">
        <v>44131</v>
      </c>
      <c r="H806" s="252">
        <v>50</v>
      </c>
      <c r="I806" s="188">
        <v>110</v>
      </c>
      <c r="J806" s="188">
        <v>5500</v>
      </c>
      <c r="K806" s="232">
        <v>44133</v>
      </c>
      <c r="L806" s="192"/>
      <c r="M806" s="332">
        <v>44130</v>
      </c>
      <c r="N806" s="332"/>
      <c r="O806" s="332"/>
    </row>
    <row r="807" spans="1:15" s="250" customFormat="1" ht="13.5" customHeight="1" x14ac:dyDescent="0.25">
      <c r="A807" s="185" t="s">
        <v>2284</v>
      </c>
      <c r="B807" s="251" t="s">
        <v>1999</v>
      </c>
      <c r="C807" s="187" t="s">
        <v>27</v>
      </c>
      <c r="D807" s="225" t="s">
        <v>2327</v>
      </c>
      <c r="E807" s="190" t="s">
        <v>5</v>
      </c>
      <c r="F807" s="227"/>
      <c r="G807" s="233">
        <v>44131</v>
      </c>
      <c r="H807" s="252">
        <v>25</v>
      </c>
      <c r="I807" s="188">
        <v>110</v>
      </c>
      <c r="J807" s="188">
        <v>2750</v>
      </c>
      <c r="K807" s="232">
        <v>44133</v>
      </c>
      <c r="L807" s="192"/>
      <c r="M807" s="332">
        <v>44130</v>
      </c>
      <c r="N807" s="332"/>
      <c r="O807" s="332"/>
    </row>
    <row r="808" spans="1:15" s="250" customFormat="1" ht="13.5" customHeight="1" x14ac:dyDescent="0.25">
      <c r="A808" s="185" t="s">
        <v>1994</v>
      </c>
      <c r="B808" s="251" t="s">
        <v>2001</v>
      </c>
      <c r="C808" s="187" t="s">
        <v>27</v>
      </c>
      <c r="D808" s="225" t="s">
        <v>2328</v>
      </c>
      <c r="E808" s="190" t="s">
        <v>5</v>
      </c>
      <c r="F808" s="227"/>
      <c r="G808" s="233">
        <v>44131</v>
      </c>
      <c r="H808" s="252">
        <v>140.4</v>
      </c>
      <c r="I808" s="188">
        <v>125</v>
      </c>
      <c r="J808" s="188">
        <v>17550</v>
      </c>
      <c r="K808" s="232">
        <v>44133</v>
      </c>
      <c r="L808" s="192"/>
      <c r="M808" s="332">
        <v>44130</v>
      </c>
      <c r="N808" s="332"/>
      <c r="O808" s="332"/>
    </row>
    <row r="809" spans="1:15" s="250" customFormat="1" ht="13.5" customHeight="1" x14ac:dyDescent="0.25">
      <c r="A809" s="185" t="s">
        <v>1995</v>
      </c>
      <c r="B809" s="251" t="s">
        <v>2001</v>
      </c>
      <c r="C809" s="187" t="s">
        <v>27</v>
      </c>
      <c r="D809" s="225" t="s">
        <v>2329</v>
      </c>
      <c r="E809" s="190" t="s">
        <v>5</v>
      </c>
      <c r="F809" s="227"/>
      <c r="G809" s="233">
        <v>44131</v>
      </c>
      <c r="H809" s="252">
        <v>299</v>
      </c>
      <c r="I809" s="188">
        <v>125</v>
      </c>
      <c r="J809" s="188">
        <v>37375</v>
      </c>
      <c r="K809" s="232">
        <v>44133</v>
      </c>
      <c r="L809" s="192"/>
      <c r="M809" s="332">
        <v>44130</v>
      </c>
      <c r="N809" s="332"/>
      <c r="O809" s="332"/>
    </row>
    <row r="810" spans="1:15" s="250" customFormat="1" ht="13.5" customHeight="1" x14ac:dyDescent="0.25">
      <c r="A810" s="185" t="s">
        <v>1996</v>
      </c>
      <c r="B810" s="251" t="s">
        <v>2001</v>
      </c>
      <c r="C810" s="187" t="s">
        <v>27</v>
      </c>
      <c r="D810" s="225" t="s">
        <v>2330</v>
      </c>
      <c r="E810" s="190" t="s">
        <v>5</v>
      </c>
      <c r="F810" s="227"/>
      <c r="G810" s="233">
        <v>44131</v>
      </c>
      <c r="H810" s="252">
        <v>61.1</v>
      </c>
      <c r="I810" s="188">
        <v>125</v>
      </c>
      <c r="J810" s="188">
        <v>7637.5</v>
      </c>
      <c r="K810" s="232">
        <v>44133</v>
      </c>
      <c r="L810" s="192"/>
      <c r="M810" s="332">
        <v>44130</v>
      </c>
      <c r="N810" s="332"/>
      <c r="O810" s="332"/>
    </row>
    <row r="811" spans="1:15" s="250" customFormat="1" ht="13.5" customHeight="1" x14ac:dyDescent="0.3">
      <c r="A811" s="185" t="s">
        <v>2084</v>
      </c>
      <c r="B811" s="251" t="s">
        <v>1525</v>
      </c>
      <c r="C811" s="187" t="s">
        <v>331</v>
      </c>
      <c r="D811" s="225" t="s">
        <v>552</v>
      </c>
      <c r="E811" s="190" t="s">
        <v>5</v>
      </c>
      <c r="F811" s="227" t="s">
        <v>2098</v>
      </c>
      <c r="G811" s="233">
        <v>44134</v>
      </c>
      <c r="H811" s="252">
        <v>3753</v>
      </c>
      <c r="I811" s="188">
        <v>522.79999999999995</v>
      </c>
      <c r="J811" s="188">
        <v>1569654.72</v>
      </c>
      <c r="K811" s="232">
        <v>44134</v>
      </c>
      <c r="L811" s="192">
        <v>0.8</v>
      </c>
      <c r="M811" s="335">
        <v>44133</v>
      </c>
      <c r="N811" s="335"/>
      <c r="O811" s="335"/>
    </row>
    <row r="812" spans="1:15" s="250" customFormat="1" ht="13.5" customHeight="1" x14ac:dyDescent="0.3">
      <c r="A812" s="185" t="s">
        <v>2085</v>
      </c>
      <c r="B812" s="251" t="s">
        <v>1523</v>
      </c>
      <c r="C812" s="187" t="s">
        <v>331</v>
      </c>
      <c r="D812" s="225" t="s">
        <v>552</v>
      </c>
      <c r="E812" s="190" t="s">
        <v>5</v>
      </c>
      <c r="F812" s="227" t="s">
        <v>2098</v>
      </c>
      <c r="G812" s="233">
        <v>44134</v>
      </c>
      <c r="H812" s="252">
        <v>5500</v>
      </c>
      <c r="I812" s="188">
        <v>379.9</v>
      </c>
      <c r="J812" s="188">
        <v>1671560</v>
      </c>
      <c r="K812" s="232">
        <v>44134</v>
      </c>
      <c r="L812" s="192">
        <v>0.8</v>
      </c>
      <c r="M812" s="335">
        <v>44133</v>
      </c>
      <c r="N812" s="335"/>
      <c r="O812" s="335"/>
    </row>
    <row r="813" spans="1:15" s="250" customFormat="1" ht="13.5" customHeight="1" x14ac:dyDescent="0.3">
      <c r="A813" s="185" t="s">
        <v>514</v>
      </c>
      <c r="B813" s="251" t="s">
        <v>2105</v>
      </c>
      <c r="C813" s="187" t="s">
        <v>331</v>
      </c>
      <c r="D813" s="225" t="s">
        <v>2222</v>
      </c>
      <c r="E813" s="190"/>
      <c r="F813" s="227"/>
      <c r="G813" s="233">
        <v>44134</v>
      </c>
      <c r="H813" s="252"/>
      <c r="I813" s="188"/>
      <c r="J813" s="188">
        <v>-18613.599999999999</v>
      </c>
      <c r="K813" s="232">
        <v>44134</v>
      </c>
      <c r="L813" s="192"/>
      <c r="M813" s="335">
        <v>44133</v>
      </c>
      <c r="N813" s="335"/>
      <c r="O813" s="335"/>
    </row>
    <row r="814" spans="1:15" s="250" customFormat="1" ht="13.5" customHeight="1" x14ac:dyDescent="0.3">
      <c r="A814" s="185" t="s">
        <v>514</v>
      </c>
      <c r="B814" s="251" t="s">
        <v>2105</v>
      </c>
      <c r="C814" s="187" t="s">
        <v>331</v>
      </c>
      <c r="D814" s="225" t="s">
        <v>2223</v>
      </c>
      <c r="E814" s="190"/>
      <c r="F814" s="227"/>
      <c r="G814" s="233">
        <v>44134</v>
      </c>
      <c r="H814" s="252"/>
      <c r="I814" s="188"/>
      <c r="J814" s="188">
        <v>-2476.96</v>
      </c>
      <c r="K814" s="232">
        <v>44134</v>
      </c>
      <c r="L814" s="192"/>
      <c r="M814" s="335">
        <v>44133</v>
      </c>
      <c r="N814" s="335"/>
      <c r="O814" s="335"/>
    </row>
    <row r="815" spans="1:15" s="250" customFormat="1" ht="13.5" customHeight="1" x14ac:dyDescent="0.3">
      <c r="A815" s="185" t="s">
        <v>514</v>
      </c>
      <c r="B815" s="251" t="s">
        <v>2105</v>
      </c>
      <c r="C815" s="187" t="s">
        <v>331</v>
      </c>
      <c r="D815" s="225" t="s">
        <v>2224</v>
      </c>
      <c r="E815" s="190"/>
      <c r="F815" s="227"/>
      <c r="G815" s="233">
        <v>44134</v>
      </c>
      <c r="H815" s="252"/>
      <c r="I815" s="188"/>
      <c r="J815" s="188">
        <v>-12097.2</v>
      </c>
      <c r="K815" s="232">
        <v>44134</v>
      </c>
      <c r="L815" s="192"/>
      <c r="M815" s="335">
        <v>44133</v>
      </c>
      <c r="N815" s="335"/>
      <c r="O815" s="335"/>
    </row>
    <row r="816" spans="1:15" s="250" customFormat="1" ht="13.5" customHeight="1" x14ac:dyDescent="0.3">
      <c r="A816" s="185" t="s">
        <v>514</v>
      </c>
      <c r="B816" s="251" t="s">
        <v>2105</v>
      </c>
      <c r="C816" s="187" t="s">
        <v>331</v>
      </c>
      <c r="D816" s="225" t="s">
        <v>2225</v>
      </c>
      <c r="E816" s="190"/>
      <c r="F816" s="227"/>
      <c r="G816" s="233">
        <v>44134</v>
      </c>
      <c r="H816" s="252"/>
      <c r="I816" s="188"/>
      <c r="J816" s="188">
        <v>-4363.04</v>
      </c>
      <c r="K816" s="232">
        <v>44134</v>
      </c>
      <c r="L816" s="192"/>
      <c r="M816" s="335">
        <v>44133</v>
      </c>
      <c r="N816" s="335"/>
      <c r="O816" s="335"/>
    </row>
    <row r="817" spans="1:15" s="250" customFormat="1" ht="13.5" customHeight="1" x14ac:dyDescent="0.3">
      <c r="A817" s="185" t="s">
        <v>514</v>
      </c>
      <c r="B817" s="251" t="s">
        <v>2105</v>
      </c>
      <c r="C817" s="187" t="s">
        <v>331</v>
      </c>
      <c r="D817" s="225" t="s">
        <v>2226</v>
      </c>
      <c r="E817" s="190"/>
      <c r="F817" s="227"/>
      <c r="G817" s="233">
        <v>44134</v>
      </c>
      <c r="H817" s="252"/>
      <c r="I817" s="188"/>
      <c r="J817" s="188">
        <v>-1155.08</v>
      </c>
      <c r="K817" s="232">
        <v>44134</v>
      </c>
      <c r="L817" s="192"/>
      <c r="M817" s="335">
        <v>44133</v>
      </c>
      <c r="N817" s="335"/>
      <c r="O817" s="335"/>
    </row>
    <row r="818" spans="1:15" s="250" customFormat="1" ht="13.5" customHeight="1" x14ac:dyDescent="0.3">
      <c r="A818" s="185" t="s">
        <v>514</v>
      </c>
      <c r="B818" s="251" t="s">
        <v>2105</v>
      </c>
      <c r="C818" s="187" t="s">
        <v>331</v>
      </c>
      <c r="D818" s="225" t="s">
        <v>2227</v>
      </c>
      <c r="E818" s="190"/>
      <c r="F818" s="227"/>
      <c r="G818" s="233">
        <v>44134</v>
      </c>
      <c r="H818" s="252"/>
      <c r="I818" s="188"/>
      <c r="J818" s="188">
        <v>-2180.1799999999998</v>
      </c>
      <c r="K818" s="232">
        <v>44134</v>
      </c>
      <c r="L818" s="192"/>
      <c r="M818" s="335">
        <v>44133</v>
      </c>
      <c r="N818" s="335"/>
      <c r="O818" s="335"/>
    </row>
    <row r="819" spans="1:15" s="250" customFormat="1" ht="13.5" customHeight="1" x14ac:dyDescent="0.3">
      <c r="A819" s="185" t="s">
        <v>514</v>
      </c>
      <c r="B819" s="251" t="s">
        <v>2105</v>
      </c>
      <c r="C819" s="187" t="s">
        <v>331</v>
      </c>
      <c r="D819" s="225" t="s">
        <v>2228</v>
      </c>
      <c r="E819" s="190"/>
      <c r="F819" s="227"/>
      <c r="G819" s="233">
        <v>44134</v>
      </c>
      <c r="H819" s="252"/>
      <c r="I819" s="188"/>
      <c r="J819" s="188">
        <v>-1313.2</v>
      </c>
      <c r="K819" s="232">
        <v>44134</v>
      </c>
      <c r="L819" s="192"/>
      <c r="M819" s="335">
        <v>44133</v>
      </c>
      <c r="N819" s="335"/>
      <c r="O819" s="335"/>
    </row>
    <row r="820" spans="1:15" s="250" customFormat="1" ht="13.5" customHeight="1" x14ac:dyDescent="0.3">
      <c r="A820" s="185" t="s">
        <v>514</v>
      </c>
      <c r="B820" s="251" t="s">
        <v>2105</v>
      </c>
      <c r="C820" s="187" t="s">
        <v>331</v>
      </c>
      <c r="D820" s="225" t="s">
        <v>2229</v>
      </c>
      <c r="E820" s="190"/>
      <c r="F820" s="227"/>
      <c r="G820" s="233">
        <v>44134</v>
      </c>
      <c r="H820" s="252"/>
      <c r="I820" s="188"/>
      <c r="J820" s="188">
        <v>-1565.12</v>
      </c>
      <c r="K820" s="232">
        <v>44134</v>
      </c>
      <c r="L820" s="192"/>
      <c r="M820" s="335">
        <v>44133</v>
      </c>
      <c r="N820" s="335"/>
      <c r="O820" s="335"/>
    </row>
    <row r="821" spans="1:15" s="250" customFormat="1" ht="13.5" customHeight="1" x14ac:dyDescent="0.3">
      <c r="A821" s="185" t="s">
        <v>514</v>
      </c>
      <c r="B821" s="251" t="s">
        <v>2105</v>
      </c>
      <c r="C821" s="187" t="s">
        <v>331</v>
      </c>
      <c r="D821" s="225" t="s">
        <v>2230</v>
      </c>
      <c r="E821" s="190"/>
      <c r="F821" s="227"/>
      <c r="G821" s="233">
        <v>44134</v>
      </c>
      <c r="H821" s="252"/>
      <c r="I821" s="188"/>
      <c r="J821" s="188">
        <v>-1572.74</v>
      </c>
      <c r="K821" s="232">
        <v>44134</v>
      </c>
      <c r="L821" s="192"/>
      <c r="M821" s="335">
        <v>44133</v>
      </c>
      <c r="N821" s="335"/>
      <c r="O821" s="335"/>
    </row>
    <row r="822" spans="1:15" s="250" customFormat="1" ht="13.5" customHeight="1" x14ac:dyDescent="0.3">
      <c r="A822" s="185" t="s">
        <v>514</v>
      </c>
      <c r="B822" s="251" t="s">
        <v>2105</v>
      </c>
      <c r="C822" s="187" t="s">
        <v>331</v>
      </c>
      <c r="D822" s="225" t="s">
        <v>2231</v>
      </c>
      <c r="E822" s="190"/>
      <c r="F822" s="227"/>
      <c r="G822" s="233">
        <v>44134</v>
      </c>
      <c r="H822" s="252"/>
      <c r="I822" s="188"/>
      <c r="J822" s="188">
        <v>-899.3</v>
      </c>
      <c r="K822" s="232">
        <v>44134</v>
      </c>
      <c r="L822" s="192"/>
      <c r="M822" s="335">
        <v>44133</v>
      </c>
      <c r="N822" s="335"/>
      <c r="O822" s="335"/>
    </row>
    <row r="823" spans="1:15" s="250" customFormat="1" ht="13.5" customHeight="1" x14ac:dyDescent="0.3">
      <c r="A823" s="185" t="s">
        <v>514</v>
      </c>
      <c r="B823" s="251" t="s">
        <v>2105</v>
      </c>
      <c r="C823" s="187" t="s">
        <v>331</v>
      </c>
      <c r="D823" s="225" t="s">
        <v>2232</v>
      </c>
      <c r="E823" s="190"/>
      <c r="F823" s="227"/>
      <c r="G823" s="233">
        <v>44134</v>
      </c>
      <c r="H823" s="252"/>
      <c r="I823" s="188"/>
      <c r="J823" s="188">
        <v>-2744.9</v>
      </c>
      <c r="K823" s="232">
        <v>44134</v>
      </c>
      <c r="L823" s="192"/>
      <c r="M823" s="335">
        <v>44133</v>
      </c>
      <c r="N823" s="335"/>
      <c r="O823" s="335"/>
    </row>
    <row r="824" spans="1:15" s="250" customFormat="1" ht="13.5" customHeight="1" x14ac:dyDescent="0.3">
      <c r="A824" s="185" t="s">
        <v>514</v>
      </c>
      <c r="B824" s="251" t="s">
        <v>2105</v>
      </c>
      <c r="C824" s="187" t="s">
        <v>331</v>
      </c>
      <c r="D824" s="225" t="s">
        <v>2233</v>
      </c>
      <c r="E824" s="190"/>
      <c r="F824" s="227"/>
      <c r="G824" s="233">
        <v>44134</v>
      </c>
      <c r="H824" s="252"/>
      <c r="I824" s="188"/>
      <c r="J824" s="188">
        <v>-1039.68</v>
      </c>
      <c r="K824" s="232">
        <v>44134</v>
      </c>
      <c r="L824" s="192"/>
      <c r="M824" s="335">
        <v>44133</v>
      </c>
      <c r="N824" s="335"/>
      <c r="O824" s="335"/>
    </row>
    <row r="825" spans="1:15" s="250" customFormat="1" ht="13.5" customHeight="1" x14ac:dyDescent="0.3">
      <c r="A825" s="185" t="s">
        <v>1675</v>
      </c>
      <c r="B825" s="251" t="s">
        <v>1386</v>
      </c>
      <c r="C825" s="187" t="s">
        <v>1436</v>
      </c>
      <c r="D825" s="225" t="s">
        <v>552</v>
      </c>
      <c r="E825" s="190">
        <v>150</v>
      </c>
      <c r="F825" s="227" t="s">
        <v>20</v>
      </c>
      <c r="G825" s="233">
        <v>44138</v>
      </c>
      <c r="H825" s="252">
        <v>6600</v>
      </c>
      <c r="I825" s="188">
        <v>254.2</v>
      </c>
      <c r="J825" s="188">
        <v>1194740</v>
      </c>
      <c r="K825" s="232">
        <v>44134</v>
      </c>
      <c r="L825" s="192" t="s">
        <v>2350</v>
      </c>
      <c r="M825" s="335">
        <v>44134</v>
      </c>
      <c r="N825" s="335"/>
      <c r="O825" s="335"/>
    </row>
    <row r="826" spans="1:15" s="250" customFormat="1" ht="13.5" customHeight="1" x14ac:dyDescent="0.25">
      <c r="A826" s="185" t="s">
        <v>2074</v>
      </c>
      <c r="B826" s="251" t="s">
        <v>653</v>
      </c>
      <c r="C826" s="187" t="s">
        <v>1497</v>
      </c>
      <c r="D826" s="225" t="s">
        <v>2339</v>
      </c>
      <c r="E826" s="190" t="s">
        <v>5</v>
      </c>
      <c r="F826" s="227"/>
      <c r="G826" s="233">
        <v>44139</v>
      </c>
      <c r="H826" s="252">
        <v>264</v>
      </c>
      <c r="I826" s="188">
        <v>626</v>
      </c>
      <c r="J826" s="188">
        <f>+I826*H826</f>
        <v>165264</v>
      </c>
      <c r="K826" s="232">
        <v>44139</v>
      </c>
      <c r="L826" s="192"/>
      <c r="M826" s="335">
        <v>44137</v>
      </c>
      <c r="N826" s="335"/>
      <c r="O826" s="335"/>
    </row>
    <row r="827" spans="1:15" s="250" customFormat="1" ht="13.5" customHeight="1" x14ac:dyDescent="0.25">
      <c r="A827" s="185" t="s">
        <v>2316</v>
      </c>
      <c r="B827" s="251" t="s">
        <v>653</v>
      </c>
      <c r="C827" s="187" t="s">
        <v>1497</v>
      </c>
      <c r="D827" s="225" t="s">
        <v>2340</v>
      </c>
      <c r="E827" s="190" t="s">
        <v>5</v>
      </c>
      <c r="F827" s="227"/>
      <c r="G827" s="233">
        <v>44139</v>
      </c>
      <c r="H827" s="252">
        <v>336</v>
      </c>
      <c r="I827" s="188">
        <v>630</v>
      </c>
      <c r="J827" s="188">
        <f>+I827*H827</f>
        <v>211680</v>
      </c>
      <c r="K827" s="232">
        <v>44139</v>
      </c>
      <c r="L827" s="192"/>
      <c r="M827" s="335">
        <v>44137</v>
      </c>
      <c r="N827" s="335"/>
      <c r="O827" s="335"/>
    </row>
    <row r="828" spans="1:15" s="250" customFormat="1" ht="13.5" customHeight="1" x14ac:dyDescent="0.25">
      <c r="A828" s="185" t="s">
        <v>2317</v>
      </c>
      <c r="B828" s="251" t="s">
        <v>653</v>
      </c>
      <c r="C828" s="187" t="s">
        <v>1497</v>
      </c>
      <c r="D828" s="225" t="s">
        <v>2341</v>
      </c>
      <c r="E828" s="190" t="s">
        <v>5</v>
      </c>
      <c r="F828" s="227"/>
      <c r="G828" s="233">
        <v>44139</v>
      </c>
      <c r="H828" s="252">
        <v>168</v>
      </c>
      <c r="I828" s="188">
        <v>630</v>
      </c>
      <c r="J828" s="188">
        <f>+I828*H828</f>
        <v>105840</v>
      </c>
      <c r="K828" s="232">
        <v>44139</v>
      </c>
      <c r="L828" s="192"/>
      <c r="M828" s="335">
        <v>44137</v>
      </c>
      <c r="N828" s="335"/>
      <c r="O828" s="335"/>
    </row>
    <row r="829" spans="1:15" s="250" customFormat="1" ht="13.5" customHeight="1" x14ac:dyDescent="0.3">
      <c r="A829" s="185" t="s">
        <v>1674</v>
      </c>
      <c r="B829" s="251" t="s">
        <v>1349</v>
      </c>
      <c r="C829" s="187" t="s">
        <v>1436</v>
      </c>
      <c r="D829" s="225" t="s">
        <v>552</v>
      </c>
      <c r="E829" s="190">
        <v>150</v>
      </c>
      <c r="F829" s="227" t="s">
        <v>20</v>
      </c>
      <c r="G829" s="233">
        <v>44138</v>
      </c>
      <c r="H829" s="252">
        <v>9000</v>
      </c>
      <c r="I829" s="188">
        <v>249.1</v>
      </c>
      <c r="J829" s="188">
        <f>+I829*H829</f>
        <v>2241900</v>
      </c>
      <c r="K829" s="232">
        <v>44140</v>
      </c>
      <c r="L829" s="192" t="s">
        <v>1534</v>
      </c>
      <c r="M829" s="335">
        <v>44137</v>
      </c>
      <c r="N829" s="335"/>
      <c r="O829" s="335"/>
    </row>
    <row r="830" spans="1:15" s="250" customFormat="1" ht="13.5" customHeight="1" x14ac:dyDescent="0.3">
      <c r="A830" s="185" t="s">
        <v>1675</v>
      </c>
      <c r="B830" s="251" t="s">
        <v>1386</v>
      </c>
      <c r="C830" s="187" t="s">
        <v>1436</v>
      </c>
      <c r="D830" s="225" t="s">
        <v>552</v>
      </c>
      <c r="E830" s="190">
        <v>150</v>
      </c>
      <c r="F830" s="227" t="s">
        <v>20</v>
      </c>
      <c r="G830" s="233">
        <v>44138</v>
      </c>
      <c r="H830" s="252">
        <v>6600</v>
      </c>
      <c r="I830" s="188">
        <v>254.2</v>
      </c>
      <c r="J830" s="188">
        <f>+I830*H830-J825</f>
        <v>482980</v>
      </c>
      <c r="K830" s="232">
        <v>44140</v>
      </c>
      <c r="L830" s="192" t="s">
        <v>2351</v>
      </c>
      <c r="M830" s="335">
        <v>44134</v>
      </c>
      <c r="N830" s="335"/>
      <c r="O830" s="335"/>
    </row>
    <row r="831" spans="1:15" s="250" customFormat="1" ht="13.5" customHeight="1" x14ac:dyDescent="0.3">
      <c r="A831" s="185" t="s">
        <v>2053</v>
      </c>
      <c r="B831" s="251" t="s">
        <v>1754</v>
      </c>
      <c r="C831" s="187" t="s">
        <v>331</v>
      </c>
      <c r="D831" s="225" t="s">
        <v>2344</v>
      </c>
      <c r="E831" s="190" t="s">
        <v>5</v>
      </c>
      <c r="F831" s="227"/>
      <c r="G831" s="233">
        <v>44140</v>
      </c>
      <c r="H831" s="252">
        <v>16</v>
      </c>
      <c r="I831" s="188">
        <v>9560</v>
      </c>
      <c r="J831" s="188">
        <v>152960</v>
      </c>
      <c r="K831" s="232">
        <v>44140</v>
      </c>
      <c r="L831" s="192"/>
      <c r="M831" s="335">
        <v>44138</v>
      </c>
      <c r="N831" s="335"/>
      <c r="O831" s="335"/>
    </row>
    <row r="832" spans="1:15" s="250" customFormat="1" ht="13.5" customHeight="1" x14ac:dyDescent="0.3">
      <c r="A832" s="185" t="s">
        <v>2134</v>
      </c>
      <c r="B832" s="251" t="s">
        <v>1785</v>
      </c>
      <c r="C832" s="187" t="s">
        <v>331</v>
      </c>
      <c r="D832" s="225" t="s">
        <v>2342</v>
      </c>
      <c r="E832" s="190" t="s">
        <v>5</v>
      </c>
      <c r="F832" s="227"/>
      <c r="G832" s="233">
        <v>44140</v>
      </c>
      <c r="H832" s="252">
        <v>79.504999999999995</v>
      </c>
      <c r="I832" s="188">
        <v>272.02</v>
      </c>
      <c r="J832" s="188">
        <v>21626.950099999998</v>
      </c>
      <c r="K832" s="232">
        <v>44140</v>
      </c>
      <c r="L832" s="192"/>
      <c r="M832" s="335">
        <v>44137</v>
      </c>
      <c r="N832" s="335"/>
      <c r="O832" s="335"/>
    </row>
    <row r="833" spans="1:15" s="250" customFormat="1" ht="13.5" customHeight="1" x14ac:dyDescent="0.3">
      <c r="A833" s="185" t="s">
        <v>1986</v>
      </c>
      <c r="B833" s="251" t="s">
        <v>1292</v>
      </c>
      <c r="C833" s="187" t="s">
        <v>331</v>
      </c>
      <c r="D833" s="225" t="s">
        <v>2352</v>
      </c>
      <c r="E833" s="190" t="s">
        <v>5</v>
      </c>
      <c r="F833" s="227"/>
      <c r="G833" s="233">
        <v>44140</v>
      </c>
      <c r="H833" s="252">
        <v>700</v>
      </c>
      <c r="I833" s="188">
        <v>118</v>
      </c>
      <c r="J833" s="188">
        <v>82600</v>
      </c>
      <c r="K833" s="232">
        <v>44140</v>
      </c>
      <c r="L833" s="192"/>
      <c r="M833" s="335">
        <v>44137</v>
      </c>
      <c r="N833" s="335"/>
      <c r="O833" s="335"/>
    </row>
    <row r="834" spans="1:15" s="250" customFormat="1" ht="13.5" customHeight="1" x14ac:dyDescent="0.25">
      <c r="A834" s="185" t="s">
        <v>2054</v>
      </c>
      <c r="B834" s="251" t="s">
        <v>1274</v>
      </c>
      <c r="C834" s="187" t="s">
        <v>277</v>
      </c>
      <c r="D834" s="225" t="s">
        <v>2343</v>
      </c>
      <c r="E834" s="190" t="s">
        <v>5</v>
      </c>
      <c r="F834" s="227"/>
      <c r="G834" s="233">
        <v>44140</v>
      </c>
      <c r="H834" s="252">
        <v>633.6</v>
      </c>
      <c r="I834" s="188">
        <v>330</v>
      </c>
      <c r="J834" s="188">
        <v>209088</v>
      </c>
      <c r="K834" s="232">
        <v>44140</v>
      </c>
      <c r="L834" s="192"/>
      <c r="M834" s="335">
        <v>44138</v>
      </c>
      <c r="N834" s="335"/>
      <c r="O834" s="335"/>
    </row>
    <row r="835" spans="1:15" s="250" customFormat="1" ht="13.5" customHeight="1" x14ac:dyDescent="0.25">
      <c r="A835" s="185" t="s">
        <v>2054</v>
      </c>
      <c r="B835" s="251" t="s">
        <v>1274</v>
      </c>
      <c r="C835" s="187" t="s">
        <v>277</v>
      </c>
      <c r="D835" s="225" t="s">
        <v>2343</v>
      </c>
      <c r="E835" s="190" t="s">
        <v>5</v>
      </c>
      <c r="F835" s="227"/>
      <c r="G835" s="233">
        <v>44140</v>
      </c>
      <c r="H835" s="252">
        <v>633.6</v>
      </c>
      <c r="I835" s="188">
        <v>330</v>
      </c>
      <c r="J835" s="188">
        <f>+I835*H835</f>
        <v>209088</v>
      </c>
      <c r="K835" s="232">
        <v>44140</v>
      </c>
      <c r="L835" s="192"/>
      <c r="M835" s="336">
        <v>44138</v>
      </c>
      <c r="N835" s="336"/>
      <c r="O835" s="336"/>
    </row>
    <row r="836" spans="1:15" s="250" customFormat="1" ht="13.5" customHeight="1" x14ac:dyDescent="0.3">
      <c r="A836" s="185" t="s">
        <v>1948</v>
      </c>
      <c r="B836" s="251" t="s">
        <v>1595</v>
      </c>
      <c r="C836" s="187" t="s">
        <v>27</v>
      </c>
      <c r="D836" s="225" t="s">
        <v>552</v>
      </c>
      <c r="E836" s="190" t="s">
        <v>5</v>
      </c>
      <c r="F836" s="227"/>
      <c r="G836" s="233">
        <v>44145</v>
      </c>
      <c r="H836" s="252">
        <v>7700</v>
      </c>
      <c r="I836" s="188">
        <v>137.25</v>
      </c>
      <c r="J836" s="188">
        <f>+I836*H836</f>
        <v>1056825</v>
      </c>
      <c r="K836" s="232">
        <v>44145</v>
      </c>
      <c r="L836" s="192"/>
      <c r="M836" s="336"/>
      <c r="N836" s="336"/>
      <c r="O836" s="336"/>
    </row>
    <row r="837" spans="1:15" s="250" customFormat="1" ht="13.5" customHeight="1" x14ac:dyDescent="0.3">
      <c r="A837" s="185" t="s">
        <v>1949</v>
      </c>
      <c r="B837" s="251" t="s">
        <v>1387</v>
      </c>
      <c r="C837" s="187" t="s">
        <v>27</v>
      </c>
      <c r="D837" s="225" t="s">
        <v>552</v>
      </c>
      <c r="E837" s="190" t="s">
        <v>5</v>
      </c>
      <c r="F837" s="227"/>
      <c r="G837" s="233">
        <v>44145</v>
      </c>
      <c r="H837" s="252">
        <v>5500</v>
      </c>
      <c r="I837" s="188">
        <v>361.75</v>
      </c>
      <c r="J837" s="188">
        <f>+I837*H837</f>
        <v>1989625</v>
      </c>
      <c r="K837" s="232">
        <v>44145</v>
      </c>
      <c r="L837" s="192"/>
      <c r="M837" s="336"/>
      <c r="N837" s="336"/>
      <c r="O837" s="336"/>
    </row>
    <row r="838" spans="1:15" s="250" customFormat="1" ht="13.5" customHeight="1" x14ac:dyDescent="0.3">
      <c r="A838" s="185" t="s">
        <v>1765</v>
      </c>
      <c r="B838" s="251" t="s">
        <v>653</v>
      </c>
      <c r="C838" s="187" t="s">
        <v>1496</v>
      </c>
      <c r="D838" s="225" t="s">
        <v>1859</v>
      </c>
      <c r="E838" s="190">
        <v>120</v>
      </c>
      <c r="F838" s="227" t="s">
        <v>20</v>
      </c>
      <c r="G838" s="233">
        <v>44146</v>
      </c>
      <c r="H838" s="252">
        <v>408</v>
      </c>
      <c r="I838" s="188">
        <v>655</v>
      </c>
      <c r="J838" s="188">
        <f>+I838*H838</f>
        <v>267240</v>
      </c>
      <c r="K838" s="232">
        <v>44147</v>
      </c>
      <c r="L838" s="192"/>
      <c r="M838" s="336">
        <v>44144</v>
      </c>
      <c r="N838" s="336"/>
      <c r="O838" s="336"/>
    </row>
    <row r="839" spans="1:15" s="250" customFormat="1" ht="13.5" customHeight="1" x14ac:dyDescent="0.3">
      <c r="A839" s="185" t="s">
        <v>1886</v>
      </c>
      <c r="B839" s="251" t="s">
        <v>1292</v>
      </c>
      <c r="C839" s="187" t="s">
        <v>280</v>
      </c>
      <c r="D839" s="225" t="s">
        <v>1889</v>
      </c>
      <c r="E839" s="190">
        <v>90</v>
      </c>
      <c r="F839" s="227" t="s">
        <v>20</v>
      </c>
      <c r="G839" s="233">
        <v>44148</v>
      </c>
      <c r="H839" s="252">
        <v>400.4</v>
      </c>
      <c r="I839" s="188">
        <v>107</v>
      </c>
      <c r="J839" s="188">
        <f>+I839*H839</f>
        <v>42842.799999999996</v>
      </c>
      <c r="K839" s="232">
        <v>44148</v>
      </c>
      <c r="L839" s="192"/>
      <c r="M839" s="336">
        <v>44144</v>
      </c>
      <c r="N839" s="336"/>
      <c r="O839" s="336"/>
    </row>
    <row r="840" spans="1:15" s="250" customFormat="1" ht="13.5" customHeight="1" x14ac:dyDescent="0.25">
      <c r="A840" s="185" t="s">
        <v>514</v>
      </c>
      <c r="B840" s="251" t="s">
        <v>1292</v>
      </c>
      <c r="C840" s="187" t="s">
        <v>280</v>
      </c>
      <c r="D840" s="225" t="s">
        <v>1468</v>
      </c>
      <c r="E840" s="190"/>
      <c r="F840" s="227"/>
      <c r="G840" s="233">
        <v>44148</v>
      </c>
      <c r="H840" s="252"/>
      <c r="I840" s="188"/>
      <c r="J840" s="188">
        <f>-1001.75-946.78</f>
        <v>-1948.53</v>
      </c>
      <c r="K840" s="232">
        <v>44148</v>
      </c>
      <c r="L840" s="192"/>
      <c r="M840" s="336">
        <v>44144</v>
      </c>
      <c r="N840" s="336"/>
      <c r="O840" s="336"/>
    </row>
    <row r="841" spans="1:15" s="250" customFormat="1" ht="13.5" customHeight="1" x14ac:dyDescent="0.3">
      <c r="A841" s="185" t="s">
        <v>1839</v>
      </c>
      <c r="B841" s="251" t="s">
        <v>1388</v>
      </c>
      <c r="C841" s="187" t="s">
        <v>928</v>
      </c>
      <c r="D841" s="225" t="s">
        <v>2376</v>
      </c>
      <c r="E841" s="190">
        <v>150</v>
      </c>
      <c r="F841" s="227" t="s">
        <v>20</v>
      </c>
      <c r="G841" s="233">
        <v>44148</v>
      </c>
      <c r="H841" s="252">
        <v>330</v>
      </c>
      <c r="I841" s="188">
        <v>240</v>
      </c>
      <c r="J841" s="188">
        <f>+I841*H841</f>
        <v>79200</v>
      </c>
      <c r="K841" s="232">
        <v>44148</v>
      </c>
      <c r="L841" s="192"/>
      <c r="M841" s="336">
        <v>44144</v>
      </c>
      <c r="N841" s="336"/>
      <c r="O841" s="336"/>
    </row>
    <row r="842" spans="1:15" s="250" customFormat="1" ht="13.5" customHeight="1" x14ac:dyDescent="0.3">
      <c r="A842" s="185" t="s">
        <v>1895</v>
      </c>
      <c r="B842" s="251" t="s">
        <v>1325</v>
      </c>
      <c r="C842" s="187" t="s">
        <v>16</v>
      </c>
      <c r="D842" s="225" t="s">
        <v>2355</v>
      </c>
      <c r="E842" s="190">
        <v>30</v>
      </c>
      <c r="F842" s="227" t="s">
        <v>20</v>
      </c>
      <c r="G842" s="233">
        <v>44148</v>
      </c>
      <c r="H842" s="252">
        <v>212.8</v>
      </c>
      <c r="I842" s="188">
        <v>807</v>
      </c>
      <c r="J842" s="188">
        <f>+I842*H842*0.8</f>
        <v>137383.68000000002</v>
      </c>
      <c r="K842" s="232">
        <v>44148</v>
      </c>
      <c r="L842" s="192">
        <v>0.8</v>
      </c>
      <c r="M842" s="336">
        <v>44144</v>
      </c>
      <c r="N842" s="336"/>
      <c r="O842" s="336"/>
    </row>
    <row r="843" spans="1:15" s="250" customFormat="1" ht="13.5" customHeight="1" x14ac:dyDescent="0.3">
      <c r="A843" s="185" t="s">
        <v>1884</v>
      </c>
      <c r="B843" s="251" t="s">
        <v>1325</v>
      </c>
      <c r="C843" s="187" t="s">
        <v>16</v>
      </c>
      <c r="D843" s="225" t="s">
        <v>1981</v>
      </c>
      <c r="E843" s="190">
        <v>90</v>
      </c>
      <c r="F843" s="227" t="s">
        <v>20</v>
      </c>
      <c r="G843" s="233">
        <v>44151</v>
      </c>
      <c r="H843" s="252">
        <v>350</v>
      </c>
      <c r="I843" s="188">
        <v>825</v>
      </c>
      <c r="J843" s="188">
        <f t="shared" ref="J843:J852" si="24">+I843*H843</f>
        <v>288750</v>
      </c>
      <c r="K843" s="232">
        <v>44152</v>
      </c>
      <c r="L843" s="192"/>
      <c r="M843" s="337">
        <v>44144</v>
      </c>
      <c r="N843" s="337"/>
      <c r="O843" s="337"/>
    </row>
    <row r="844" spans="1:15" s="250" customFormat="1" ht="13.5" customHeight="1" x14ac:dyDescent="0.25">
      <c r="A844" s="185" t="s">
        <v>2363</v>
      </c>
      <c r="B844" s="251" t="s">
        <v>1600</v>
      </c>
      <c r="C844" s="187" t="s">
        <v>2374</v>
      </c>
      <c r="D844" s="225">
        <v>7300127725</v>
      </c>
      <c r="E844" s="190" t="s">
        <v>2388</v>
      </c>
      <c r="F844" s="227"/>
      <c r="G844" s="233">
        <v>44155</v>
      </c>
      <c r="H844" s="252">
        <v>308.06400000000002</v>
      </c>
      <c r="I844" s="188">
        <v>423</v>
      </c>
      <c r="J844" s="188">
        <f t="shared" si="24"/>
        <v>130311.07200000001</v>
      </c>
      <c r="K844" s="232">
        <v>44154</v>
      </c>
      <c r="L844" s="475"/>
      <c r="M844" s="341">
        <v>44152</v>
      </c>
      <c r="N844" s="341"/>
      <c r="O844" s="341"/>
    </row>
    <row r="845" spans="1:15" s="250" customFormat="1" ht="13.5" customHeight="1" x14ac:dyDescent="0.25">
      <c r="A845" s="185" t="s">
        <v>2364</v>
      </c>
      <c r="B845" s="251" t="s">
        <v>1600</v>
      </c>
      <c r="C845" s="187" t="s">
        <v>2374</v>
      </c>
      <c r="D845" s="225">
        <v>7300125308</v>
      </c>
      <c r="E845" s="190" t="s">
        <v>2388</v>
      </c>
      <c r="F845" s="227"/>
      <c r="G845" s="233">
        <v>44155</v>
      </c>
      <c r="H845" s="252">
        <v>112.01600000000001</v>
      </c>
      <c r="I845" s="188">
        <v>423</v>
      </c>
      <c r="J845" s="188">
        <f t="shared" si="24"/>
        <v>47382.768000000004</v>
      </c>
      <c r="K845" s="232">
        <v>44154</v>
      </c>
      <c r="L845" s="475"/>
      <c r="M845" s="341">
        <v>44152</v>
      </c>
      <c r="N845" s="341"/>
      <c r="O845" s="341"/>
    </row>
    <row r="846" spans="1:15" s="250" customFormat="1" ht="13.5" customHeight="1" x14ac:dyDescent="0.3">
      <c r="A846" s="185" t="s">
        <v>2039</v>
      </c>
      <c r="B846" s="251" t="s">
        <v>1595</v>
      </c>
      <c r="C846" s="187" t="s">
        <v>494</v>
      </c>
      <c r="D846" s="225" t="s">
        <v>552</v>
      </c>
      <c r="E846" s="190" t="s">
        <v>5</v>
      </c>
      <c r="F846" s="227"/>
      <c r="G846" s="233">
        <v>44153</v>
      </c>
      <c r="H846" s="252">
        <v>1500</v>
      </c>
      <c r="I846" s="188">
        <v>141</v>
      </c>
      <c r="J846" s="188">
        <f t="shared" si="24"/>
        <v>211500</v>
      </c>
      <c r="K846" s="232">
        <v>44154</v>
      </c>
      <c r="L846" s="192" t="s">
        <v>2407</v>
      </c>
      <c r="M846" s="337">
        <v>44151</v>
      </c>
      <c r="N846" s="337"/>
      <c r="O846" s="337"/>
    </row>
    <row r="847" spans="1:15" s="250" customFormat="1" ht="13.5" customHeight="1" x14ac:dyDescent="0.3">
      <c r="A847" s="185" t="s">
        <v>2040</v>
      </c>
      <c r="B847" s="251" t="s">
        <v>1387</v>
      </c>
      <c r="C847" s="187" t="s">
        <v>494</v>
      </c>
      <c r="D847" s="225" t="s">
        <v>552</v>
      </c>
      <c r="E847" s="190" t="s">
        <v>5</v>
      </c>
      <c r="F847" s="227"/>
      <c r="G847" s="233">
        <v>44153</v>
      </c>
      <c r="H847" s="252">
        <v>2500</v>
      </c>
      <c r="I847" s="188">
        <v>379</v>
      </c>
      <c r="J847" s="188">
        <f t="shared" si="24"/>
        <v>947500</v>
      </c>
      <c r="K847" s="232">
        <v>44154</v>
      </c>
      <c r="L847" s="192" t="s">
        <v>2407</v>
      </c>
      <c r="M847" s="337">
        <v>44151</v>
      </c>
      <c r="N847" s="337"/>
      <c r="O847" s="337"/>
    </row>
    <row r="848" spans="1:15" s="250" customFormat="1" ht="13.5" customHeight="1" x14ac:dyDescent="0.25">
      <c r="A848" s="185" t="s">
        <v>2041</v>
      </c>
      <c r="B848" s="251" t="s">
        <v>1386</v>
      </c>
      <c r="C848" s="187" t="s">
        <v>494</v>
      </c>
      <c r="D848" s="225" t="s">
        <v>552</v>
      </c>
      <c r="E848" s="190" t="s">
        <v>5</v>
      </c>
      <c r="F848" s="227"/>
      <c r="G848" s="233">
        <v>44153</v>
      </c>
      <c r="H848" s="252">
        <v>3000</v>
      </c>
      <c r="I848" s="188">
        <v>297</v>
      </c>
      <c r="J848" s="188">
        <f t="shared" si="24"/>
        <v>891000</v>
      </c>
      <c r="K848" s="232">
        <v>44154</v>
      </c>
      <c r="L848" s="192" t="s">
        <v>2407</v>
      </c>
      <c r="M848" s="337">
        <v>44151</v>
      </c>
      <c r="N848" s="337"/>
      <c r="O848" s="337"/>
    </row>
    <row r="849" spans="1:15" s="250" customFormat="1" ht="13.5" customHeight="1" x14ac:dyDescent="0.3">
      <c r="A849" s="185" t="s">
        <v>2069</v>
      </c>
      <c r="B849" s="251" t="s">
        <v>1754</v>
      </c>
      <c r="C849" s="187" t="s">
        <v>331</v>
      </c>
      <c r="D849" s="225" t="s">
        <v>2356</v>
      </c>
      <c r="E849" s="190" t="s">
        <v>5</v>
      </c>
      <c r="F849" s="227"/>
      <c r="G849" s="233">
        <v>44140</v>
      </c>
      <c r="H849" s="252">
        <v>15.74</v>
      </c>
      <c r="I849" s="188">
        <v>9560</v>
      </c>
      <c r="J849" s="188">
        <f t="shared" si="24"/>
        <v>150474.4</v>
      </c>
      <c r="K849" s="232">
        <v>44154</v>
      </c>
      <c r="L849" s="192"/>
      <c r="M849" s="337">
        <v>44144</v>
      </c>
      <c r="N849" s="337"/>
      <c r="O849" s="337"/>
    </row>
    <row r="850" spans="1:15" s="250" customFormat="1" ht="13.5" customHeight="1" x14ac:dyDescent="0.3">
      <c r="A850" s="185" t="s">
        <v>1887</v>
      </c>
      <c r="B850" s="251" t="s">
        <v>1292</v>
      </c>
      <c r="C850" s="187" t="s">
        <v>280</v>
      </c>
      <c r="D850" s="225" t="s">
        <v>1890</v>
      </c>
      <c r="E850" s="190">
        <v>90</v>
      </c>
      <c r="F850" s="227" t="s">
        <v>20</v>
      </c>
      <c r="G850" s="233">
        <v>44152</v>
      </c>
      <c r="H850" s="252">
        <v>314.60000000000002</v>
      </c>
      <c r="I850" s="188">
        <v>107</v>
      </c>
      <c r="J850" s="188">
        <f t="shared" si="24"/>
        <v>33662.200000000004</v>
      </c>
      <c r="K850" s="232">
        <v>44155</v>
      </c>
      <c r="L850" s="192"/>
      <c r="M850" s="341">
        <v>44154</v>
      </c>
      <c r="N850" s="341"/>
      <c r="O850" s="341"/>
    </row>
    <row r="851" spans="1:15" s="250" customFormat="1" ht="13.5" customHeight="1" x14ac:dyDescent="0.3">
      <c r="A851" s="185" t="s">
        <v>1719</v>
      </c>
      <c r="B851" s="251" t="s">
        <v>1293</v>
      </c>
      <c r="C851" s="187" t="s">
        <v>1721</v>
      </c>
      <c r="D851" s="225" t="s">
        <v>2010</v>
      </c>
      <c r="E851" s="190">
        <v>90</v>
      </c>
      <c r="F851" s="227" t="s">
        <v>20</v>
      </c>
      <c r="G851" s="233">
        <v>44155</v>
      </c>
      <c r="H851" s="252">
        <v>150</v>
      </c>
      <c r="I851" s="188">
        <v>244</v>
      </c>
      <c r="J851" s="188">
        <f t="shared" si="24"/>
        <v>36600</v>
      </c>
      <c r="K851" s="232">
        <v>44155</v>
      </c>
      <c r="L851" s="192"/>
      <c r="M851" s="341">
        <v>44154</v>
      </c>
      <c r="N851" s="341"/>
      <c r="O851" s="341"/>
    </row>
    <row r="852" spans="1:15" s="250" customFormat="1" ht="13.5" customHeight="1" x14ac:dyDescent="0.3">
      <c r="A852" s="185" t="s">
        <v>2132</v>
      </c>
      <c r="B852" s="251" t="s">
        <v>1649</v>
      </c>
      <c r="C852" s="187" t="s">
        <v>331</v>
      </c>
      <c r="D852" s="225" t="s">
        <v>2409</v>
      </c>
      <c r="E852" s="190">
        <v>30</v>
      </c>
      <c r="F852" s="227" t="s">
        <v>2136</v>
      </c>
      <c r="G852" s="233">
        <v>44148</v>
      </c>
      <c r="H852" s="252">
        <v>750</v>
      </c>
      <c r="I852" s="188">
        <v>243.24</v>
      </c>
      <c r="J852" s="188">
        <f t="shared" si="24"/>
        <v>182430</v>
      </c>
      <c r="K852" s="232">
        <v>44156</v>
      </c>
      <c r="L852" s="192"/>
      <c r="M852" s="346">
        <v>44144</v>
      </c>
      <c r="N852" s="346"/>
      <c r="O852" s="346"/>
    </row>
    <row r="853" spans="1:15" s="250" customFormat="1" ht="13.5" customHeight="1" x14ac:dyDescent="0.3">
      <c r="A853" s="185" t="s">
        <v>514</v>
      </c>
      <c r="B853" s="251" t="s">
        <v>1649</v>
      </c>
      <c r="C853" s="187" t="s">
        <v>331</v>
      </c>
      <c r="D853" s="225" t="s">
        <v>552</v>
      </c>
      <c r="E853" s="190"/>
      <c r="F853" s="227"/>
      <c r="G853" s="233">
        <v>44148</v>
      </c>
      <c r="H853" s="252"/>
      <c r="I853" s="188">
        <f>+J853*1.18</f>
        <v>-20005.153599999998</v>
      </c>
      <c r="J853" s="188">
        <v>-16953.52</v>
      </c>
      <c r="K853" s="232">
        <v>44156</v>
      </c>
      <c r="L853" s="192"/>
      <c r="M853" s="346">
        <v>44144</v>
      </c>
      <c r="N853" s="346"/>
      <c r="O853" s="346"/>
    </row>
    <row r="854" spans="1:15" s="250" customFormat="1" ht="13.5" customHeight="1" x14ac:dyDescent="0.25">
      <c r="A854" s="185" t="s">
        <v>2055</v>
      </c>
      <c r="B854" s="251" t="s">
        <v>1274</v>
      </c>
      <c r="C854" s="187" t="s">
        <v>277</v>
      </c>
      <c r="D854" s="225" t="s">
        <v>2408</v>
      </c>
      <c r="E854" s="190" t="s">
        <v>5</v>
      </c>
      <c r="F854" s="227"/>
      <c r="G854" s="233">
        <v>44155</v>
      </c>
      <c r="H854" s="252">
        <v>633.6</v>
      </c>
      <c r="I854" s="188">
        <v>324</v>
      </c>
      <c r="J854" s="188">
        <f t="shared" ref="J854:J861" si="25">+I854*H854</f>
        <v>205286.39999999999</v>
      </c>
      <c r="K854" s="232">
        <v>44158</v>
      </c>
      <c r="L854" s="192"/>
      <c r="M854" s="341">
        <v>44154</v>
      </c>
      <c r="N854" s="341"/>
      <c r="O854" s="341"/>
    </row>
    <row r="855" spans="1:15" s="250" customFormat="1" ht="13.5" customHeight="1" x14ac:dyDescent="0.3">
      <c r="A855" s="185" t="s">
        <v>1885</v>
      </c>
      <c r="B855" s="251" t="s">
        <v>1325</v>
      </c>
      <c r="C855" s="187" t="s">
        <v>16</v>
      </c>
      <c r="D855" s="225" t="s">
        <v>1982</v>
      </c>
      <c r="E855" s="190">
        <v>90</v>
      </c>
      <c r="F855" s="227" t="s">
        <v>20</v>
      </c>
      <c r="G855" s="233">
        <v>44158</v>
      </c>
      <c r="H855" s="252">
        <v>362.6</v>
      </c>
      <c r="I855" s="188">
        <v>825</v>
      </c>
      <c r="J855" s="188">
        <f t="shared" si="25"/>
        <v>299145</v>
      </c>
      <c r="K855" s="232">
        <v>44159</v>
      </c>
      <c r="L855" s="192"/>
      <c r="M855" s="341">
        <v>44154</v>
      </c>
      <c r="N855" s="341"/>
      <c r="O855" s="341"/>
    </row>
    <row r="856" spans="1:15" s="250" customFormat="1" ht="13.5" customHeight="1" x14ac:dyDescent="0.3">
      <c r="A856" s="185" t="s">
        <v>1819</v>
      </c>
      <c r="B856" s="251" t="s">
        <v>1313</v>
      </c>
      <c r="C856" s="187" t="s">
        <v>42</v>
      </c>
      <c r="D856" s="225" t="s">
        <v>1877</v>
      </c>
      <c r="E856" s="190">
        <v>120</v>
      </c>
      <c r="F856" s="227" t="s">
        <v>20</v>
      </c>
      <c r="G856" s="233">
        <v>44158</v>
      </c>
      <c r="H856" s="252">
        <v>167.8</v>
      </c>
      <c r="I856" s="188">
        <v>235</v>
      </c>
      <c r="J856" s="188">
        <f t="shared" si="25"/>
        <v>39433</v>
      </c>
      <c r="K856" s="232">
        <v>44159</v>
      </c>
      <c r="L856" s="192"/>
      <c r="M856" s="341">
        <v>44154</v>
      </c>
      <c r="N856" s="341"/>
      <c r="O856" s="341"/>
    </row>
    <row r="857" spans="1:15" s="250" customFormat="1" ht="13.5" customHeight="1" x14ac:dyDescent="0.3">
      <c r="A857" s="185" t="s">
        <v>1820</v>
      </c>
      <c r="B857" s="251" t="s">
        <v>1313</v>
      </c>
      <c r="C857" s="187" t="s">
        <v>42</v>
      </c>
      <c r="D857" s="225" t="s">
        <v>1878</v>
      </c>
      <c r="E857" s="190">
        <v>120</v>
      </c>
      <c r="F857" s="227" t="s">
        <v>20</v>
      </c>
      <c r="G857" s="233">
        <v>44158</v>
      </c>
      <c r="H857" s="252">
        <v>251.5</v>
      </c>
      <c r="I857" s="188">
        <v>235</v>
      </c>
      <c r="J857" s="188">
        <f t="shared" si="25"/>
        <v>59102.5</v>
      </c>
      <c r="K857" s="232">
        <v>44159</v>
      </c>
      <c r="L857" s="192"/>
      <c r="M857" s="341">
        <v>44154</v>
      </c>
      <c r="N857" s="341"/>
      <c r="O857" s="341"/>
    </row>
    <row r="858" spans="1:15" s="250" customFormat="1" ht="13.5" customHeight="1" x14ac:dyDescent="0.25">
      <c r="A858" s="185" t="s">
        <v>2359</v>
      </c>
      <c r="B858" s="251" t="s">
        <v>1601</v>
      </c>
      <c r="C858" s="187" t="s">
        <v>42</v>
      </c>
      <c r="D858" s="225" t="s">
        <v>2419</v>
      </c>
      <c r="E858" s="190" t="s">
        <v>5</v>
      </c>
      <c r="F858" s="227"/>
      <c r="G858" s="233">
        <v>44163</v>
      </c>
      <c r="H858" s="252">
        <v>307.12</v>
      </c>
      <c r="I858" s="188">
        <v>220</v>
      </c>
      <c r="J858" s="188">
        <f t="shared" si="25"/>
        <v>67566.399999999994</v>
      </c>
      <c r="K858" s="232">
        <v>44165</v>
      </c>
      <c r="L858" s="192"/>
      <c r="M858" s="341">
        <v>44159</v>
      </c>
      <c r="N858" s="341"/>
      <c r="O858" s="341"/>
    </row>
    <row r="859" spans="1:15" s="250" customFormat="1" ht="13.5" customHeight="1" x14ac:dyDescent="0.3">
      <c r="A859" s="185" t="s">
        <v>1888</v>
      </c>
      <c r="B859" s="251" t="s">
        <v>1292</v>
      </c>
      <c r="C859" s="187" t="s">
        <v>280</v>
      </c>
      <c r="D859" s="225" t="s">
        <v>1891</v>
      </c>
      <c r="E859" s="190">
        <v>90</v>
      </c>
      <c r="F859" s="227" t="s">
        <v>20</v>
      </c>
      <c r="G859" s="233">
        <v>44163</v>
      </c>
      <c r="H859" s="252">
        <v>143</v>
      </c>
      <c r="I859" s="188">
        <v>107</v>
      </c>
      <c r="J859" s="188">
        <f t="shared" si="25"/>
        <v>15301</v>
      </c>
      <c r="K859" s="232">
        <v>44165</v>
      </c>
      <c r="L859" s="192"/>
      <c r="M859" s="341">
        <v>44158</v>
      </c>
      <c r="N859" s="341"/>
      <c r="O859" s="341"/>
    </row>
    <row r="860" spans="1:15" s="250" customFormat="1" ht="13.5" customHeight="1" x14ac:dyDescent="0.3">
      <c r="A860" s="185" t="s">
        <v>1909</v>
      </c>
      <c r="B860" s="251" t="s">
        <v>653</v>
      </c>
      <c r="C860" s="187" t="s">
        <v>1497</v>
      </c>
      <c r="D860" s="225" t="s">
        <v>2093</v>
      </c>
      <c r="E860" s="190">
        <v>90</v>
      </c>
      <c r="F860" s="227" t="s">
        <v>20</v>
      </c>
      <c r="G860" s="233">
        <v>44164</v>
      </c>
      <c r="H860" s="252">
        <v>216</v>
      </c>
      <c r="I860" s="188">
        <v>643.5</v>
      </c>
      <c r="J860" s="188">
        <f t="shared" si="25"/>
        <v>138996</v>
      </c>
      <c r="K860" s="232">
        <v>44165</v>
      </c>
      <c r="L860" s="192"/>
      <c r="M860" s="341">
        <v>44158</v>
      </c>
      <c r="N860" s="341"/>
      <c r="O860" s="341"/>
    </row>
    <row r="861" spans="1:15" s="250" customFormat="1" ht="13.5" customHeight="1" x14ac:dyDescent="0.25">
      <c r="A861" s="185" t="s">
        <v>2368</v>
      </c>
      <c r="B861" s="251" t="s">
        <v>653</v>
      </c>
      <c r="C861" s="187" t="s">
        <v>1497</v>
      </c>
      <c r="D861" s="225" t="s">
        <v>2436</v>
      </c>
      <c r="E861" s="190" t="s">
        <v>5</v>
      </c>
      <c r="F861" s="227"/>
      <c r="G861" s="233">
        <v>44160</v>
      </c>
      <c r="H861" s="252">
        <v>240</v>
      </c>
      <c r="I861" s="188">
        <v>622</v>
      </c>
      <c r="J861" s="188">
        <f t="shared" si="25"/>
        <v>149280</v>
      </c>
      <c r="K861" s="232">
        <v>44165</v>
      </c>
      <c r="L861" s="192"/>
      <c r="M861" s="341">
        <v>44160</v>
      </c>
      <c r="N861" s="341"/>
      <c r="O861" s="341"/>
    </row>
    <row r="862" spans="1:15" s="250" customFormat="1" ht="13.5" customHeight="1" x14ac:dyDescent="0.3">
      <c r="A862" s="185" t="s">
        <v>2307</v>
      </c>
      <c r="B862" s="251" t="s">
        <v>1325</v>
      </c>
      <c r="C862" s="187" t="s">
        <v>16</v>
      </c>
      <c r="D862" s="225" t="s">
        <v>2308</v>
      </c>
      <c r="E862" s="190">
        <v>30</v>
      </c>
      <c r="F862" s="227" t="s">
        <v>20</v>
      </c>
      <c r="G862" s="233">
        <v>44158</v>
      </c>
      <c r="H862" s="252">
        <v>212.8</v>
      </c>
      <c r="I862" s="188">
        <v>807</v>
      </c>
      <c r="J862" s="188">
        <f>+I862*H862*0.8</f>
        <v>137383.68000000002</v>
      </c>
      <c r="K862" s="232">
        <v>44165</v>
      </c>
      <c r="L862" s="192">
        <v>0.8</v>
      </c>
      <c r="M862" s="341">
        <v>44154</v>
      </c>
      <c r="N862" s="341"/>
      <c r="O862" s="341"/>
    </row>
    <row r="863" spans="1:15" s="250" customFormat="1" ht="13.5" customHeight="1" x14ac:dyDescent="0.3">
      <c r="A863" s="185" t="s">
        <v>2397</v>
      </c>
      <c r="B863" s="251" t="s">
        <v>1785</v>
      </c>
      <c r="C863" s="187" t="s">
        <v>331</v>
      </c>
      <c r="D863" s="225" t="s">
        <v>2420</v>
      </c>
      <c r="E863" s="190" t="s">
        <v>5</v>
      </c>
      <c r="F863" s="227"/>
      <c r="G863" s="233">
        <f>+K863+5</f>
        <v>44146</v>
      </c>
      <c r="H863" s="252">
        <v>158.94999999999999</v>
      </c>
      <c r="I863" s="188">
        <v>275.10000000000002</v>
      </c>
      <c r="J863" s="188">
        <f>+I863*H863</f>
        <v>43727.145000000004</v>
      </c>
      <c r="K863" s="232">
        <v>44141</v>
      </c>
      <c r="L863" s="192"/>
      <c r="M863" s="345">
        <v>44159</v>
      </c>
      <c r="N863" s="345"/>
      <c r="O863" s="345"/>
    </row>
    <row r="864" spans="1:15" s="250" customFormat="1" ht="13.5" customHeight="1" x14ac:dyDescent="0.3">
      <c r="A864" s="185" t="s">
        <v>1717</v>
      </c>
      <c r="B864" s="251" t="s">
        <v>1326</v>
      </c>
      <c r="C864" s="187" t="s">
        <v>1497</v>
      </c>
      <c r="D864" s="225" t="s">
        <v>1919</v>
      </c>
      <c r="E864" s="190">
        <v>120</v>
      </c>
      <c r="F864" s="227" t="s">
        <v>20</v>
      </c>
      <c r="G864" s="233">
        <v>44140</v>
      </c>
      <c r="H864" s="252">
        <v>840</v>
      </c>
      <c r="I864" s="188">
        <v>432</v>
      </c>
      <c r="J864" s="188">
        <f>+I864*H864</f>
        <v>362880</v>
      </c>
      <c r="K864" s="232">
        <v>44167</v>
      </c>
      <c r="L864" s="192"/>
      <c r="M864" s="341">
        <v>44137</v>
      </c>
      <c r="N864" s="341"/>
      <c r="O864" s="341"/>
    </row>
    <row r="865" spans="1:15" s="250" customFormat="1" ht="13.5" customHeight="1" x14ac:dyDescent="0.25">
      <c r="A865" s="185" t="s">
        <v>2366</v>
      </c>
      <c r="B865" s="251" t="s">
        <v>653</v>
      </c>
      <c r="C865" s="187" t="s">
        <v>1497</v>
      </c>
      <c r="D865" s="225" t="s">
        <v>2447</v>
      </c>
      <c r="E865" s="190" t="s">
        <v>5</v>
      </c>
      <c r="F865" s="227"/>
      <c r="G865" s="233">
        <v>44168</v>
      </c>
      <c r="H865" s="252">
        <v>312</v>
      </c>
      <c r="I865" s="188">
        <v>626</v>
      </c>
      <c r="J865" s="188">
        <v>195312</v>
      </c>
      <c r="K865" s="232">
        <v>44169</v>
      </c>
      <c r="L865" s="192"/>
      <c r="M865" s="345">
        <v>44168</v>
      </c>
      <c r="N865" s="345"/>
      <c r="O865" s="345"/>
    </row>
    <row r="866" spans="1:15" s="250" customFormat="1" ht="13.5" customHeight="1" x14ac:dyDescent="0.25">
      <c r="A866" s="185" t="s">
        <v>2369</v>
      </c>
      <c r="B866" s="251" t="s">
        <v>653</v>
      </c>
      <c r="C866" s="187" t="s">
        <v>1497</v>
      </c>
      <c r="D866" s="225" t="s">
        <v>2446</v>
      </c>
      <c r="E866" s="190" t="s">
        <v>5</v>
      </c>
      <c r="F866" s="227"/>
      <c r="G866" s="233">
        <v>44168</v>
      </c>
      <c r="H866" s="252">
        <v>336</v>
      </c>
      <c r="I866" s="188">
        <v>622</v>
      </c>
      <c r="J866" s="188">
        <v>208992</v>
      </c>
      <c r="K866" s="232">
        <v>44169</v>
      </c>
      <c r="L866" s="192"/>
      <c r="M866" s="345">
        <v>44168</v>
      </c>
      <c r="N866" s="345"/>
      <c r="O866" s="345"/>
    </row>
    <row r="867" spans="1:15" s="250" customFormat="1" ht="13.5" customHeight="1" x14ac:dyDescent="0.3">
      <c r="A867" s="185" t="s">
        <v>2109</v>
      </c>
      <c r="B867" s="251" t="s">
        <v>1292</v>
      </c>
      <c r="C867" s="187" t="s">
        <v>280</v>
      </c>
      <c r="D867" s="225" t="s">
        <v>2110</v>
      </c>
      <c r="E867" s="190">
        <v>90</v>
      </c>
      <c r="F867" s="227" t="s">
        <v>20</v>
      </c>
      <c r="G867" s="233">
        <v>44167</v>
      </c>
      <c r="H867" s="252">
        <v>143</v>
      </c>
      <c r="I867" s="188">
        <v>107</v>
      </c>
      <c r="J867" s="188">
        <v>15301</v>
      </c>
      <c r="K867" s="232">
        <v>44169</v>
      </c>
      <c r="L867" s="192"/>
      <c r="M867" s="345">
        <v>44168</v>
      </c>
      <c r="N867" s="345"/>
      <c r="O867" s="345"/>
    </row>
    <row r="868" spans="1:15" s="250" customFormat="1" ht="13.5" customHeight="1" x14ac:dyDescent="0.3">
      <c r="A868" s="185" t="s">
        <v>2088</v>
      </c>
      <c r="B868" s="251" t="s">
        <v>1293</v>
      </c>
      <c r="C868" s="187" t="s">
        <v>280</v>
      </c>
      <c r="D868" s="225" t="s">
        <v>2090</v>
      </c>
      <c r="E868" s="190">
        <v>90</v>
      </c>
      <c r="F868" s="227" t="s">
        <v>20</v>
      </c>
      <c r="G868" s="233">
        <v>44168</v>
      </c>
      <c r="H868" s="252">
        <v>143</v>
      </c>
      <c r="I868" s="188">
        <v>233</v>
      </c>
      <c r="J868" s="188">
        <v>33319</v>
      </c>
      <c r="K868" s="232">
        <v>44169</v>
      </c>
      <c r="L868" s="192"/>
      <c r="M868" s="345">
        <v>44168</v>
      </c>
      <c r="N868" s="345"/>
      <c r="O868" s="345"/>
    </row>
    <row r="869" spans="1:15" s="250" customFormat="1" ht="13.5" customHeight="1" x14ac:dyDescent="0.3">
      <c r="A869" s="185" t="s">
        <v>2089</v>
      </c>
      <c r="B869" s="251" t="s">
        <v>1293</v>
      </c>
      <c r="C869" s="187" t="s">
        <v>280</v>
      </c>
      <c r="D869" s="225" t="s">
        <v>2091</v>
      </c>
      <c r="E869" s="190">
        <v>90</v>
      </c>
      <c r="F869" s="227" t="s">
        <v>20</v>
      </c>
      <c r="G869" s="233">
        <v>44173</v>
      </c>
      <c r="H869" s="252">
        <v>85.8</v>
      </c>
      <c r="I869" s="188">
        <v>233</v>
      </c>
      <c r="J869" s="188">
        <f t="shared" ref="J869:J874" si="26">+I869*H869</f>
        <v>19991.399999999998</v>
      </c>
      <c r="K869" s="232">
        <v>44172</v>
      </c>
      <c r="L869" s="192"/>
      <c r="M869" s="345">
        <v>44168</v>
      </c>
      <c r="N869" s="345"/>
      <c r="O869" s="345"/>
    </row>
    <row r="870" spans="1:15" s="250" customFormat="1" ht="13.5" customHeight="1" x14ac:dyDescent="0.25">
      <c r="A870" s="185" t="s">
        <v>2357</v>
      </c>
      <c r="B870" s="251" t="s">
        <v>1601</v>
      </c>
      <c r="C870" s="187" t="s">
        <v>42</v>
      </c>
      <c r="D870" s="225" t="s">
        <v>2477</v>
      </c>
      <c r="E870" s="190" t="s">
        <v>5</v>
      </c>
      <c r="F870" s="227"/>
      <c r="G870" s="233">
        <f>+K870+6</f>
        <v>44178</v>
      </c>
      <c r="H870" s="252">
        <v>149.58000000000001</v>
      </c>
      <c r="I870" s="188">
        <v>220</v>
      </c>
      <c r="J870" s="188">
        <f t="shared" si="26"/>
        <v>32907.600000000006</v>
      </c>
      <c r="K870" s="232">
        <v>44172</v>
      </c>
      <c r="L870" s="192"/>
      <c r="M870" s="345">
        <v>44168</v>
      </c>
      <c r="N870" s="345"/>
      <c r="O870" s="345"/>
    </row>
    <row r="871" spans="1:15" s="250" customFormat="1" ht="13.5" customHeight="1" x14ac:dyDescent="0.3">
      <c r="A871" s="185" t="s">
        <v>2331</v>
      </c>
      <c r="B871" s="251" t="s">
        <v>1649</v>
      </c>
      <c r="C871" s="187" t="s">
        <v>331</v>
      </c>
      <c r="D871" s="225" t="s">
        <v>2361</v>
      </c>
      <c r="E871" s="190">
        <v>30</v>
      </c>
      <c r="F871" s="227" t="s">
        <v>20</v>
      </c>
      <c r="G871" s="233">
        <v>44167</v>
      </c>
      <c r="H871" s="252">
        <v>775</v>
      </c>
      <c r="I871" s="188">
        <v>243.24</v>
      </c>
      <c r="J871" s="188">
        <f t="shared" si="26"/>
        <v>188511</v>
      </c>
      <c r="K871" s="232">
        <v>44172</v>
      </c>
      <c r="L871" s="192"/>
      <c r="M871" s="345">
        <v>44168</v>
      </c>
      <c r="N871" s="345"/>
      <c r="O871" s="345"/>
    </row>
    <row r="872" spans="1:15" s="250" customFormat="1" ht="13.5" customHeight="1" x14ac:dyDescent="0.3">
      <c r="A872" s="185" t="s">
        <v>2332</v>
      </c>
      <c r="B872" s="251" t="s">
        <v>1649</v>
      </c>
      <c r="C872" s="187" t="s">
        <v>331</v>
      </c>
      <c r="D872" s="225" t="s">
        <v>2362</v>
      </c>
      <c r="E872" s="190">
        <v>30</v>
      </c>
      <c r="F872" s="227" t="s">
        <v>20</v>
      </c>
      <c r="G872" s="233">
        <v>44168</v>
      </c>
      <c r="H872" s="252">
        <v>125</v>
      </c>
      <c r="I872" s="188">
        <v>242.07</v>
      </c>
      <c r="J872" s="188">
        <f t="shared" si="26"/>
        <v>30258.75</v>
      </c>
      <c r="K872" s="232">
        <v>44172</v>
      </c>
      <c r="L872" s="192"/>
      <c r="M872" s="345">
        <v>44168</v>
      </c>
      <c r="N872" s="345"/>
      <c r="O872" s="345"/>
    </row>
    <row r="873" spans="1:15" s="250" customFormat="1" ht="13.5" customHeight="1" x14ac:dyDescent="0.25">
      <c r="A873" s="185" t="s">
        <v>2367</v>
      </c>
      <c r="B873" s="251" t="s">
        <v>653</v>
      </c>
      <c r="C873" s="187" t="s">
        <v>1497</v>
      </c>
      <c r="D873" s="225" t="s">
        <v>2490</v>
      </c>
      <c r="E873" s="190" t="s">
        <v>5</v>
      </c>
      <c r="F873" s="227"/>
      <c r="G873" s="233">
        <v>44174</v>
      </c>
      <c r="H873" s="252">
        <v>240</v>
      </c>
      <c r="I873" s="188">
        <v>626</v>
      </c>
      <c r="J873" s="188">
        <f t="shared" si="26"/>
        <v>150240</v>
      </c>
      <c r="K873" s="232">
        <v>44175</v>
      </c>
      <c r="L873" s="192"/>
      <c r="M873" s="345">
        <v>44172</v>
      </c>
      <c r="N873" s="345"/>
      <c r="O873" s="345"/>
    </row>
    <row r="874" spans="1:15" s="250" customFormat="1" ht="13.5" customHeight="1" x14ac:dyDescent="0.25">
      <c r="A874" s="185" t="s">
        <v>2370</v>
      </c>
      <c r="B874" s="251" t="s">
        <v>653</v>
      </c>
      <c r="C874" s="187" t="s">
        <v>1497</v>
      </c>
      <c r="D874" s="225" t="s">
        <v>2491</v>
      </c>
      <c r="E874" s="190" t="s">
        <v>5</v>
      </c>
      <c r="F874" s="227"/>
      <c r="G874" s="233">
        <v>44174</v>
      </c>
      <c r="H874" s="252">
        <v>480</v>
      </c>
      <c r="I874" s="188">
        <v>622</v>
      </c>
      <c r="J874" s="188">
        <f t="shared" si="26"/>
        <v>298560</v>
      </c>
      <c r="K874" s="232">
        <v>44175</v>
      </c>
      <c r="L874" s="192"/>
      <c r="M874" s="345">
        <v>44172</v>
      </c>
      <c r="N874" s="345"/>
      <c r="O874" s="345"/>
    </row>
    <row r="875" spans="1:15" s="250" customFormat="1" ht="13.5" customHeight="1" x14ac:dyDescent="0.3">
      <c r="A875" s="185" t="s">
        <v>2313</v>
      </c>
      <c r="B875" s="251" t="s">
        <v>1326</v>
      </c>
      <c r="C875" s="187" t="s">
        <v>2076</v>
      </c>
      <c r="D875" s="225" t="s">
        <v>2396</v>
      </c>
      <c r="E875" s="190">
        <v>30</v>
      </c>
      <c r="F875" s="227" t="s">
        <v>20</v>
      </c>
      <c r="G875" s="233">
        <v>44176</v>
      </c>
      <c r="H875" s="252">
        <v>432</v>
      </c>
      <c r="I875" s="188">
        <v>400</v>
      </c>
      <c r="J875" s="188">
        <v>172800</v>
      </c>
      <c r="K875" s="232">
        <v>44176</v>
      </c>
      <c r="L875" s="192"/>
      <c r="M875" s="345">
        <v>44171</v>
      </c>
      <c r="N875" s="345"/>
      <c r="O875" s="345"/>
    </row>
    <row r="876" spans="1:15" s="250" customFormat="1" ht="13.5" customHeight="1" x14ac:dyDescent="0.3">
      <c r="A876" s="185" t="s">
        <v>2068</v>
      </c>
      <c r="B876" s="251" t="s">
        <v>1326</v>
      </c>
      <c r="C876" s="187" t="s">
        <v>2076</v>
      </c>
      <c r="D876" s="225" t="s">
        <v>2474</v>
      </c>
      <c r="E876" s="190">
        <v>30</v>
      </c>
      <c r="F876" s="227" t="s">
        <v>20</v>
      </c>
      <c r="G876" s="233">
        <v>44175</v>
      </c>
      <c r="H876" s="252">
        <v>192</v>
      </c>
      <c r="I876" s="188">
        <v>420</v>
      </c>
      <c r="J876" s="188">
        <v>80640</v>
      </c>
      <c r="K876" s="232">
        <v>44176</v>
      </c>
      <c r="L876" s="192"/>
      <c r="M876" s="345">
        <v>44171</v>
      </c>
      <c r="N876" s="345"/>
      <c r="O876" s="345"/>
    </row>
    <row r="877" spans="1:15" s="250" customFormat="1" ht="13.5" customHeight="1" x14ac:dyDescent="0.25">
      <c r="A877" s="185" t="s">
        <v>2502</v>
      </c>
      <c r="B877" s="251" t="s">
        <v>653</v>
      </c>
      <c r="C877" s="187" t="s">
        <v>1497</v>
      </c>
      <c r="D877" s="225" t="s">
        <v>2521</v>
      </c>
      <c r="E877" s="190" t="s">
        <v>5</v>
      </c>
      <c r="F877" s="227"/>
      <c r="G877" s="233">
        <v>44186</v>
      </c>
      <c r="H877" s="252">
        <v>312</v>
      </c>
      <c r="I877" s="188">
        <v>622</v>
      </c>
      <c r="J877" s="188">
        <f>+I877*H877</f>
        <v>194064</v>
      </c>
      <c r="K877" s="232">
        <v>44182</v>
      </c>
      <c r="L877" s="192"/>
      <c r="M877" s="347">
        <v>44180</v>
      </c>
      <c r="N877" s="347"/>
      <c r="O877" s="347"/>
    </row>
    <row r="878" spans="1:15" s="250" customFormat="1" ht="13.5" customHeight="1" x14ac:dyDescent="0.3">
      <c r="A878" s="185" t="s">
        <v>2402</v>
      </c>
      <c r="B878" s="251" t="s">
        <v>1649</v>
      </c>
      <c r="C878" s="187" t="s">
        <v>331</v>
      </c>
      <c r="D878" s="225" t="s">
        <v>2403</v>
      </c>
      <c r="E878" s="190">
        <v>30</v>
      </c>
      <c r="F878" s="227" t="s">
        <v>45</v>
      </c>
      <c r="G878" s="233">
        <v>44182</v>
      </c>
      <c r="H878" s="252">
        <v>350</v>
      </c>
      <c r="I878" s="188">
        <v>242.07</v>
      </c>
      <c r="J878" s="188">
        <f>+I878*H878</f>
        <v>84724.5</v>
      </c>
      <c r="K878" s="232">
        <v>44182</v>
      </c>
      <c r="L878" s="192"/>
      <c r="M878" s="347">
        <v>44180</v>
      </c>
      <c r="N878" s="347"/>
      <c r="O878" s="347"/>
    </row>
    <row r="879" spans="1:15" s="250" customFormat="1" ht="13.5" customHeight="1" x14ac:dyDescent="0.3">
      <c r="A879" s="185" t="s">
        <v>2310</v>
      </c>
      <c r="B879" s="251" t="s">
        <v>1326</v>
      </c>
      <c r="C879" s="187" t="s">
        <v>2076</v>
      </c>
      <c r="D879" s="225" t="s">
        <v>2449</v>
      </c>
      <c r="E879" s="190">
        <v>30</v>
      </c>
      <c r="F879" s="227" t="s">
        <v>20</v>
      </c>
      <c r="G879" s="233">
        <v>44183</v>
      </c>
      <c r="H879" s="252">
        <v>504</v>
      </c>
      <c r="I879" s="188">
        <v>410</v>
      </c>
      <c r="J879" s="188">
        <v>206640</v>
      </c>
      <c r="K879" s="232">
        <v>44186</v>
      </c>
      <c r="L879" s="192"/>
      <c r="M879" s="349">
        <v>44180</v>
      </c>
      <c r="N879" s="349"/>
      <c r="O879" s="349"/>
    </row>
    <row r="880" spans="1:15" s="250" customFormat="1" ht="13.5" customHeight="1" x14ac:dyDescent="0.3">
      <c r="A880" s="185" t="s">
        <v>2365</v>
      </c>
      <c r="B880" s="251" t="s">
        <v>1295</v>
      </c>
      <c r="C880" s="187" t="s">
        <v>2076</v>
      </c>
      <c r="D880" s="225" t="s">
        <v>2522</v>
      </c>
      <c r="E880" s="190" t="s">
        <v>5</v>
      </c>
      <c r="F880" s="227"/>
      <c r="G880" s="233">
        <v>44183</v>
      </c>
      <c r="H880" s="252">
        <v>150</v>
      </c>
      <c r="I880" s="188">
        <v>603</v>
      </c>
      <c r="J880" s="188">
        <v>90450</v>
      </c>
      <c r="K880" s="232">
        <v>44186</v>
      </c>
      <c r="L880" s="192"/>
      <c r="M880" s="349">
        <v>44180</v>
      </c>
      <c r="N880" s="349"/>
      <c r="O880" s="349"/>
    </row>
    <row r="881" spans="1:15" s="351" customFormat="1" ht="13.5" customHeight="1" x14ac:dyDescent="0.3">
      <c r="A881" s="185" t="s">
        <v>2398</v>
      </c>
      <c r="B881" s="352" t="s">
        <v>1782</v>
      </c>
      <c r="C881" s="187" t="s">
        <v>331</v>
      </c>
      <c r="D881" s="225" t="s">
        <v>2548</v>
      </c>
      <c r="E881" s="190" t="s">
        <v>5</v>
      </c>
      <c r="F881" s="227"/>
      <c r="G881" s="233">
        <v>44186</v>
      </c>
      <c r="H881" s="252">
        <v>220</v>
      </c>
      <c r="I881" s="188">
        <v>374</v>
      </c>
      <c r="J881" s="188">
        <f>+I881*H881</f>
        <v>82280</v>
      </c>
      <c r="K881" s="232">
        <v>44186</v>
      </c>
      <c r="L881" s="192"/>
      <c r="M881" s="364">
        <v>44186</v>
      </c>
      <c r="N881" s="364"/>
      <c r="O881" s="364"/>
    </row>
    <row r="882" spans="1:15" s="250" customFormat="1" ht="13.5" customHeight="1" x14ac:dyDescent="0.3">
      <c r="A882" s="185" t="s">
        <v>1860</v>
      </c>
      <c r="B882" s="251" t="s">
        <v>1325</v>
      </c>
      <c r="C882" s="187" t="s">
        <v>1294</v>
      </c>
      <c r="D882" s="225" t="s">
        <v>1920</v>
      </c>
      <c r="E882" s="190">
        <v>150</v>
      </c>
      <c r="F882" s="227" t="s">
        <v>20</v>
      </c>
      <c r="G882" s="233">
        <v>44186</v>
      </c>
      <c r="H882" s="252">
        <v>292.60000000000002</v>
      </c>
      <c r="I882" s="188">
        <v>837</v>
      </c>
      <c r="J882" s="188">
        <f>+I882*H882</f>
        <v>244906.2</v>
      </c>
      <c r="K882" s="232">
        <v>44187</v>
      </c>
      <c r="L882" s="192"/>
      <c r="M882" s="349">
        <v>44180</v>
      </c>
      <c r="N882" s="349"/>
      <c r="O882" s="349"/>
    </row>
    <row r="883" spans="1:15" s="250" customFormat="1" ht="13.5" customHeight="1" x14ac:dyDescent="0.25">
      <c r="A883" s="185" t="s">
        <v>1594</v>
      </c>
      <c r="B883" s="251" t="s">
        <v>1607</v>
      </c>
      <c r="C883" s="187" t="s">
        <v>1091</v>
      </c>
      <c r="D883" s="225" t="s">
        <v>1734</v>
      </c>
      <c r="E883" s="190"/>
      <c r="F883" s="227"/>
      <c r="G883" s="233">
        <v>44183</v>
      </c>
      <c r="H883" s="252">
        <v>0.99</v>
      </c>
      <c r="I883" s="188">
        <v>9776.7832345469924</v>
      </c>
      <c r="J883" s="188">
        <v>4822.05</v>
      </c>
      <c r="K883" s="232">
        <v>44187</v>
      </c>
      <c r="L883" s="192" t="s">
        <v>2527</v>
      </c>
      <c r="M883" s="349">
        <v>44082</v>
      </c>
      <c r="N883" s="349"/>
      <c r="O883" s="349"/>
    </row>
    <row r="884" spans="1:15" s="250" customFormat="1" ht="13.5" customHeight="1" x14ac:dyDescent="0.3">
      <c r="A884" s="185" t="s">
        <v>1774</v>
      </c>
      <c r="B884" s="251" t="s">
        <v>1483</v>
      </c>
      <c r="C884" s="187" t="s">
        <v>1091</v>
      </c>
      <c r="D884" s="225" t="s">
        <v>1864</v>
      </c>
      <c r="E884" s="190">
        <v>180</v>
      </c>
      <c r="F884" s="227" t="s">
        <v>20</v>
      </c>
      <c r="G884" s="233">
        <v>44183</v>
      </c>
      <c r="H884" s="252">
        <v>4.45</v>
      </c>
      <c r="I884" s="188">
        <v>39097.815699999999</v>
      </c>
      <c r="J884" s="188">
        <f>+I884*H884</f>
        <v>173985.27986499999</v>
      </c>
      <c r="K884" s="232">
        <v>44187</v>
      </c>
      <c r="L884" s="192"/>
      <c r="M884" s="349">
        <v>44183</v>
      </c>
      <c r="N884" s="349"/>
      <c r="O884" s="349"/>
    </row>
    <row r="885" spans="1:15" s="250" customFormat="1" ht="13.5" customHeight="1" x14ac:dyDescent="0.25">
      <c r="A885" s="185" t="s">
        <v>2277</v>
      </c>
      <c r="B885" s="251" t="s">
        <v>1274</v>
      </c>
      <c r="C885" s="187" t="s">
        <v>277</v>
      </c>
      <c r="D885" s="225" t="s">
        <v>2558</v>
      </c>
      <c r="E885" s="190" t="s">
        <v>5</v>
      </c>
      <c r="F885" s="227"/>
      <c r="G885" s="233">
        <v>44190</v>
      </c>
      <c r="H885" s="252">
        <v>614.4</v>
      </c>
      <c r="I885" s="188">
        <v>320</v>
      </c>
      <c r="J885" s="188">
        <f>+I885*H885</f>
        <v>196608</v>
      </c>
      <c r="K885" s="232">
        <v>44188</v>
      </c>
      <c r="L885" s="192"/>
      <c r="M885" s="349">
        <v>44186</v>
      </c>
      <c r="N885" s="349"/>
      <c r="O885" s="349"/>
    </row>
    <row r="886" spans="1:15" s="250" customFormat="1" ht="13.5" customHeight="1" x14ac:dyDescent="0.25">
      <c r="A886" s="185" t="s">
        <v>2133</v>
      </c>
      <c r="B886" s="251" t="s">
        <v>1601</v>
      </c>
      <c r="C886" s="187" t="s">
        <v>42</v>
      </c>
      <c r="D886" s="225" t="s">
        <v>2538</v>
      </c>
      <c r="E886" s="190" t="s">
        <v>5</v>
      </c>
      <c r="F886" s="227"/>
      <c r="G886" s="233">
        <v>44188</v>
      </c>
      <c r="H886" s="252">
        <v>195.56</v>
      </c>
      <c r="I886" s="188">
        <v>242</v>
      </c>
      <c r="J886" s="188">
        <f>+I886*H886</f>
        <v>47325.520000000004</v>
      </c>
      <c r="K886" s="232">
        <v>44188</v>
      </c>
      <c r="L886" s="192"/>
      <c r="M886" s="349">
        <v>44186</v>
      </c>
      <c r="N886" s="349"/>
      <c r="O886" s="349"/>
    </row>
    <row r="887" spans="1:15" s="250" customFormat="1" ht="13.5" customHeight="1" x14ac:dyDescent="0.3">
      <c r="A887" s="185" t="s">
        <v>2116</v>
      </c>
      <c r="B887" s="251" t="s">
        <v>1326</v>
      </c>
      <c r="C887" s="187" t="s">
        <v>27</v>
      </c>
      <c r="D887" s="225" t="s">
        <v>2337</v>
      </c>
      <c r="E887" s="190">
        <v>90</v>
      </c>
      <c r="F887" s="227" t="s">
        <v>20</v>
      </c>
      <c r="G887" s="233">
        <v>44193</v>
      </c>
      <c r="H887" s="252">
        <v>500</v>
      </c>
      <c r="I887" s="188">
        <v>426.83</v>
      </c>
      <c r="J887" s="188">
        <f>+I887*H887</f>
        <v>213415</v>
      </c>
      <c r="K887" s="232">
        <v>44194</v>
      </c>
      <c r="L887" s="192"/>
      <c r="M887" s="364"/>
      <c r="N887" s="349"/>
      <c r="O887" s="349"/>
    </row>
    <row r="888" spans="1:15" s="250" customFormat="1" ht="13.5" customHeight="1" x14ac:dyDescent="0.3">
      <c r="A888" s="185" t="s">
        <v>1896</v>
      </c>
      <c r="B888" s="251" t="s">
        <v>1326</v>
      </c>
      <c r="C888" s="187" t="s">
        <v>27</v>
      </c>
      <c r="D888" s="225" t="s">
        <v>2338</v>
      </c>
      <c r="E888" s="190">
        <v>90</v>
      </c>
      <c r="F888" s="227" t="s">
        <v>20</v>
      </c>
      <c r="G888" s="233">
        <v>44193</v>
      </c>
      <c r="H888" s="252">
        <v>850</v>
      </c>
      <c r="I888" s="188">
        <v>421.74</v>
      </c>
      <c r="J888" s="188">
        <f>+I888*H888</f>
        <v>358479</v>
      </c>
      <c r="K888" s="232">
        <v>44194</v>
      </c>
      <c r="L888" s="192"/>
      <c r="M888" s="364"/>
      <c r="N888" s="362"/>
      <c r="O888" s="362"/>
    </row>
    <row r="889" spans="1:15" ht="14.1" customHeight="1" x14ac:dyDescent="0.3">
      <c r="A889" s="185" t="s">
        <v>2084</v>
      </c>
      <c r="B889" s="262" t="s">
        <v>1525</v>
      </c>
      <c r="C889" s="187" t="s">
        <v>331</v>
      </c>
      <c r="D889" s="355" t="s">
        <v>552</v>
      </c>
      <c r="E889" s="361">
        <v>60</v>
      </c>
      <c r="F889" s="358" t="s">
        <v>2099</v>
      </c>
      <c r="G889" s="353">
        <v>44284</v>
      </c>
      <c r="H889" s="360">
        <v>3753</v>
      </c>
      <c r="I889" s="188">
        <v>522.79999999999995</v>
      </c>
      <c r="J889" s="188">
        <f>+I889*H889*0.2</f>
        <v>392413.68</v>
      </c>
      <c r="K889" s="232">
        <v>44194</v>
      </c>
      <c r="L889" s="192">
        <v>0.2</v>
      </c>
      <c r="M889" s="364"/>
      <c r="N889" s="363"/>
      <c r="O889" s="363"/>
    </row>
    <row r="890" spans="1:15" ht="14.1" customHeight="1" x14ac:dyDescent="0.3">
      <c r="A890" s="185" t="s">
        <v>2085</v>
      </c>
      <c r="B890" s="262" t="s">
        <v>1523</v>
      </c>
      <c r="C890" s="187" t="s">
        <v>331</v>
      </c>
      <c r="D890" s="355" t="s">
        <v>552</v>
      </c>
      <c r="E890" s="361">
        <v>60</v>
      </c>
      <c r="F890" s="358" t="s">
        <v>2099</v>
      </c>
      <c r="G890" s="353">
        <v>44284</v>
      </c>
      <c r="H890" s="360">
        <v>5500</v>
      </c>
      <c r="I890" s="188">
        <v>379.9</v>
      </c>
      <c r="J890" s="188">
        <f>+I890*H890*0.2</f>
        <v>417890</v>
      </c>
      <c r="K890" s="232">
        <v>44194</v>
      </c>
      <c r="L890" s="192">
        <v>0.2</v>
      </c>
      <c r="M890" s="364"/>
      <c r="N890" s="363"/>
      <c r="O890" s="363"/>
    </row>
    <row r="891" spans="1:15" s="351" customFormat="1" ht="13.5" customHeight="1" x14ac:dyDescent="0.3">
      <c r="A891" s="185" t="s">
        <v>2399</v>
      </c>
      <c r="B891" s="352" t="s">
        <v>1782</v>
      </c>
      <c r="C891" s="187" t="s">
        <v>331</v>
      </c>
      <c r="D891" s="225" t="s">
        <v>2549</v>
      </c>
      <c r="E891" s="190" t="s">
        <v>5</v>
      </c>
      <c r="F891" s="227"/>
      <c r="G891" s="233">
        <v>44189</v>
      </c>
      <c r="H891" s="252">
        <v>110</v>
      </c>
      <c r="I891" s="188">
        <v>374.5</v>
      </c>
      <c r="J891" s="188">
        <f>+I891*H891</f>
        <v>41195</v>
      </c>
      <c r="K891" s="232">
        <v>44195</v>
      </c>
      <c r="L891" s="192"/>
      <c r="M891" s="364">
        <v>44186</v>
      </c>
      <c r="N891" s="364"/>
      <c r="O891" s="364"/>
    </row>
    <row r="892" spans="1:15" s="351" customFormat="1" ht="14.1" customHeight="1" x14ac:dyDescent="0.3">
      <c r="A892" s="185" t="s">
        <v>1862</v>
      </c>
      <c r="B892" s="262" t="s">
        <v>1325</v>
      </c>
      <c r="C892" s="187" t="s">
        <v>1294</v>
      </c>
      <c r="D892" s="355" t="s">
        <v>1921</v>
      </c>
      <c r="E892" s="361">
        <v>150</v>
      </c>
      <c r="F892" s="358" t="s">
        <v>20</v>
      </c>
      <c r="G892" s="353">
        <v>44195</v>
      </c>
      <c r="H892" s="360">
        <v>292.60000000000002</v>
      </c>
      <c r="I892" s="188">
        <v>847</v>
      </c>
      <c r="J892" s="188">
        <f>+I892*H892</f>
        <v>247832.2</v>
      </c>
      <c r="K892" s="232">
        <v>44195</v>
      </c>
      <c r="M892" s="364">
        <v>44195</v>
      </c>
      <c r="N892" s="363"/>
      <c r="O892" s="363"/>
    </row>
    <row r="893" spans="1:15" s="351" customFormat="1" ht="14.1" customHeight="1" x14ac:dyDescent="0.3">
      <c r="A893" s="185" t="s">
        <v>2309</v>
      </c>
      <c r="B893" s="262" t="s">
        <v>1325</v>
      </c>
      <c r="C893" s="187" t="s">
        <v>16</v>
      </c>
      <c r="D893" s="355" t="s">
        <v>2513</v>
      </c>
      <c r="E893" s="361">
        <v>30</v>
      </c>
      <c r="F893" s="358" t="s">
        <v>20</v>
      </c>
      <c r="G893" s="353">
        <v>44195</v>
      </c>
      <c r="H893" s="360">
        <v>106.4</v>
      </c>
      <c r="I893" s="188">
        <v>807</v>
      </c>
      <c r="J893" s="188">
        <f>+I893*H893*0.8</f>
        <v>68691.840000000011</v>
      </c>
      <c r="K893" s="232">
        <v>44195</v>
      </c>
      <c r="L893" s="138">
        <v>0.8</v>
      </c>
      <c r="M893" s="364">
        <v>44195</v>
      </c>
      <c r="N893" s="363"/>
      <c r="O893" s="363"/>
    </row>
    <row r="894" spans="1:15" s="351" customFormat="1" ht="14.1" customHeight="1" x14ac:dyDescent="0.3">
      <c r="A894" s="185" t="s">
        <v>2314</v>
      </c>
      <c r="B894" s="262" t="s">
        <v>1326</v>
      </c>
      <c r="C894" s="187" t="s">
        <v>2076</v>
      </c>
      <c r="D894" s="355" t="s">
        <v>2516</v>
      </c>
      <c r="E894" s="361">
        <v>30</v>
      </c>
      <c r="F894" s="358" t="s">
        <v>20</v>
      </c>
      <c r="G894" s="353">
        <v>44195</v>
      </c>
      <c r="H894" s="360">
        <v>432</v>
      </c>
      <c r="I894" s="188">
        <v>400</v>
      </c>
      <c r="J894" s="188">
        <v>172800</v>
      </c>
      <c r="K894" s="232">
        <v>44195</v>
      </c>
      <c r="M894" s="364">
        <v>44195</v>
      </c>
      <c r="N894" s="363"/>
      <c r="O894" s="363"/>
    </row>
    <row r="895" spans="1:15" s="351" customFormat="1" ht="14.1" customHeight="1" x14ac:dyDescent="0.3">
      <c r="A895" s="185" t="s">
        <v>2458</v>
      </c>
      <c r="B895" s="262" t="s">
        <v>1649</v>
      </c>
      <c r="C895" s="187" t="s">
        <v>331</v>
      </c>
      <c r="D895" s="355" t="s">
        <v>2471</v>
      </c>
      <c r="E895" s="361">
        <v>30</v>
      </c>
      <c r="F895" s="358" t="s">
        <v>45</v>
      </c>
      <c r="G895" s="353">
        <v>44195</v>
      </c>
      <c r="H895" s="360">
        <v>175</v>
      </c>
      <c r="I895" s="188">
        <v>242.07</v>
      </c>
      <c r="J895" s="188">
        <v>42362.25</v>
      </c>
      <c r="K895" s="232">
        <v>44195</v>
      </c>
      <c r="M895" s="364">
        <v>44195</v>
      </c>
      <c r="N895" s="363"/>
      <c r="O895" s="363"/>
    </row>
    <row r="896" spans="1:15" s="351" customFormat="1" ht="14.1" customHeight="1" x14ac:dyDescent="0.25">
      <c r="A896" s="185" t="s">
        <v>2360</v>
      </c>
      <c r="B896" s="262" t="s">
        <v>1601</v>
      </c>
      <c r="C896" s="187" t="s">
        <v>42</v>
      </c>
      <c r="D896" s="355"/>
      <c r="E896" s="361" t="s">
        <v>5</v>
      </c>
      <c r="F896" s="358"/>
      <c r="G896" s="353">
        <v>44201</v>
      </c>
      <c r="H896" s="360">
        <v>149.86000000000001</v>
      </c>
      <c r="I896" s="188">
        <v>220</v>
      </c>
      <c r="J896" s="188">
        <f>+I896*H896</f>
        <v>32969.200000000004</v>
      </c>
      <c r="K896" s="232">
        <v>44202</v>
      </c>
      <c r="M896" s="366">
        <v>44200</v>
      </c>
      <c r="N896" s="363"/>
      <c r="O896" s="363"/>
    </row>
    <row r="897" spans="1:15" s="351" customFormat="1" ht="14.1" customHeight="1" x14ac:dyDescent="0.3">
      <c r="A897" s="185" t="s">
        <v>2453</v>
      </c>
      <c r="B897" s="262" t="s">
        <v>1649</v>
      </c>
      <c r="C897" s="187" t="s">
        <v>331</v>
      </c>
      <c r="D897" s="355" t="s">
        <v>2457</v>
      </c>
      <c r="E897" s="361">
        <v>30</v>
      </c>
      <c r="F897" s="358" t="s">
        <v>45</v>
      </c>
      <c r="G897" s="353">
        <v>44200</v>
      </c>
      <c r="H897" s="360">
        <v>750</v>
      </c>
      <c r="I897" s="188">
        <v>242.07</v>
      </c>
      <c r="J897" s="188">
        <v>181552.5</v>
      </c>
      <c r="K897" s="232">
        <v>44202</v>
      </c>
      <c r="M897" s="366">
        <v>44195</v>
      </c>
      <c r="N897" s="363"/>
      <c r="O897" s="363"/>
    </row>
    <row r="898" spans="1:15" s="351" customFormat="1" ht="14.1" customHeight="1" x14ac:dyDescent="0.3">
      <c r="A898" s="185" t="s">
        <v>2450</v>
      </c>
      <c r="B898" s="262" t="s">
        <v>1649</v>
      </c>
      <c r="C898" s="187" t="s">
        <v>331</v>
      </c>
      <c r="D898" s="355" t="s">
        <v>2454</v>
      </c>
      <c r="E898" s="361">
        <v>30</v>
      </c>
      <c r="F898" s="358" t="s">
        <v>45</v>
      </c>
      <c r="G898" s="353">
        <v>44202</v>
      </c>
      <c r="H898" s="360">
        <v>750</v>
      </c>
      <c r="I898" s="188">
        <v>242.07</v>
      </c>
      <c r="J898" s="188">
        <v>181552.5</v>
      </c>
      <c r="K898" s="232">
        <v>44202</v>
      </c>
      <c r="M898" s="366">
        <v>44195</v>
      </c>
      <c r="N898" s="363"/>
      <c r="O898" s="363"/>
    </row>
    <row r="899" spans="1:15" s="351" customFormat="1" ht="14.1" customHeight="1" x14ac:dyDescent="0.3">
      <c r="A899" s="185" t="s">
        <v>514</v>
      </c>
      <c r="B899" s="262" t="s">
        <v>2604</v>
      </c>
      <c r="C899" s="187" t="s">
        <v>331</v>
      </c>
      <c r="D899" s="355" t="s">
        <v>2603</v>
      </c>
      <c r="E899" s="361"/>
      <c r="F899" s="358"/>
      <c r="G899" s="353">
        <v>44202</v>
      </c>
      <c r="H899" s="360"/>
      <c r="I899" s="188"/>
      <c r="J899" s="188">
        <v>-7451.19</v>
      </c>
      <c r="K899" s="232">
        <v>44202</v>
      </c>
      <c r="M899" s="366">
        <v>44196</v>
      </c>
      <c r="N899" s="363"/>
      <c r="O899" s="363"/>
    </row>
    <row r="900" spans="1:15" s="351" customFormat="1" ht="14.1" customHeight="1" x14ac:dyDescent="0.3">
      <c r="A900" s="185" t="s">
        <v>2451</v>
      </c>
      <c r="B900" s="262" t="s">
        <v>1649</v>
      </c>
      <c r="C900" s="187" t="s">
        <v>331</v>
      </c>
      <c r="D900" s="355" t="s">
        <v>2455</v>
      </c>
      <c r="E900" s="361">
        <v>30</v>
      </c>
      <c r="F900" s="358" t="s">
        <v>45</v>
      </c>
      <c r="G900" s="353">
        <v>44202</v>
      </c>
      <c r="H900" s="360">
        <v>300</v>
      </c>
      <c r="I900" s="188">
        <v>242.07</v>
      </c>
      <c r="J900" s="188">
        <v>72621</v>
      </c>
      <c r="K900" s="232">
        <v>44202</v>
      </c>
      <c r="M900" s="366">
        <v>44195</v>
      </c>
      <c r="N900" s="363"/>
      <c r="O900" s="363"/>
    </row>
    <row r="901" spans="1:15" s="351" customFormat="1" ht="14.1" customHeight="1" x14ac:dyDescent="0.3">
      <c r="A901" s="185" t="s">
        <v>2452</v>
      </c>
      <c r="B901" s="262" t="s">
        <v>1649</v>
      </c>
      <c r="C901" s="187" t="s">
        <v>331</v>
      </c>
      <c r="D901" s="355" t="s">
        <v>2456</v>
      </c>
      <c r="E901" s="361">
        <v>30</v>
      </c>
      <c r="F901" s="358" t="s">
        <v>45</v>
      </c>
      <c r="G901" s="353">
        <v>44202</v>
      </c>
      <c r="H901" s="360">
        <v>150</v>
      </c>
      <c r="I901" s="188">
        <v>242.07</v>
      </c>
      <c r="J901" s="188">
        <v>36310.5</v>
      </c>
      <c r="K901" s="232">
        <v>44202</v>
      </c>
      <c r="M901" s="366">
        <v>44195</v>
      </c>
      <c r="N901" s="363"/>
      <c r="O901" s="363"/>
    </row>
    <row r="902" spans="1:15" s="351" customFormat="1" ht="14.1" customHeight="1" x14ac:dyDescent="0.3">
      <c r="A902" s="185" t="s">
        <v>2459</v>
      </c>
      <c r="B902" s="262" t="s">
        <v>1649</v>
      </c>
      <c r="C902" s="187" t="s">
        <v>331</v>
      </c>
      <c r="D902" s="355" t="s">
        <v>2517</v>
      </c>
      <c r="E902" s="361">
        <v>30</v>
      </c>
      <c r="F902" s="358" t="s">
        <v>45</v>
      </c>
      <c r="G902" s="353">
        <v>44202</v>
      </c>
      <c r="H902" s="360">
        <v>675</v>
      </c>
      <c r="I902" s="188">
        <v>242.07</v>
      </c>
      <c r="J902" s="188">
        <v>163397.25</v>
      </c>
      <c r="K902" s="232">
        <v>44202</v>
      </c>
      <c r="M902" s="366">
        <v>44196</v>
      </c>
      <c r="N902" s="363"/>
      <c r="O902" s="363"/>
    </row>
    <row r="903" spans="1:15" s="351" customFormat="1" ht="14.1" customHeight="1" x14ac:dyDescent="0.3">
      <c r="A903" s="185" t="s">
        <v>2311</v>
      </c>
      <c r="B903" s="262" t="s">
        <v>1326</v>
      </c>
      <c r="C903" s="187" t="s">
        <v>2076</v>
      </c>
      <c r="D903" s="355" t="s">
        <v>2559</v>
      </c>
      <c r="E903" s="361">
        <v>30</v>
      </c>
      <c r="F903" s="358" t="s">
        <v>20</v>
      </c>
      <c r="G903" s="353">
        <v>44202</v>
      </c>
      <c r="H903" s="360">
        <v>504</v>
      </c>
      <c r="I903" s="188">
        <v>410</v>
      </c>
      <c r="J903" s="188">
        <f>+I903*H903</f>
        <v>206640</v>
      </c>
      <c r="K903" s="232">
        <v>44203</v>
      </c>
      <c r="M903" s="366">
        <v>44195</v>
      </c>
      <c r="N903" s="363"/>
      <c r="O903" s="363"/>
    </row>
    <row r="904" spans="1:15" s="351" customFormat="1" ht="14.1" customHeight="1" x14ac:dyDescent="0.25">
      <c r="A904" s="185" t="s">
        <v>2371</v>
      </c>
      <c r="B904" s="262" t="s">
        <v>653</v>
      </c>
      <c r="C904" s="187" t="s">
        <v>1497</v>
      </c>
      <c r="D904" s="355" t="s">
        <v>2628</v>
      </c>
      <c r="E904" s="361" t="s">
        <v>5</v>
      </c>
      <c r="F904" s="358"/>
      <c r="G904" s="353">
        <v>44202</v>
      </c>
      <c r="H904" s="360">
        <v>96</v>
      </c>
      <c r="I904" s="188">
        <v>630</v>
      </c>
      <c r="J904" s="188">
        <f>+I904*H904</f>
        <v>60480</v>
      </c>
      <c r="K904" s="232">
        <v>44203</v>
      </c>
      <c r="M904" s="366">
        <v>44200</v>
      </c>
      <c r="N904" s="363"/>
      <c r="O904" s="363"/>
    </row>
    <row r="905" spans="1:15" s="351" customFormat="1" ht="14.1" customHeight="1" x14ac:dyDescent="0.3">
      <c r="A905" s="185" t="s">
        <v>1816</v>
      </c>
      <c r="B905" s="262" t="s">
        <v>1409</v>
      </c>
      <c r="C905" s="187" t="s">
        <v>1433</v>
      </c>
      <c r="D905" s="355" t="s">
        <v>552</v>
      </c>
      <c r="E905" s="361">
        <v>150</v>
      </c>
      <c r="F905" s="358" t="s">
        <v>20</v>
      </c>
      <c r="G905" s="353">
        <v>44201</v>
      </c>
      <c r="H905" s="360">
        <v>9175</v>
      </c>
      <c r="I905" s="188">
        <v>218.6</v>
      </c>
      <c r="J905" s="188">
        <f>+I905*H905</f>
        <v>2005655</v>
      </c>
      <c r="K905" s="232">
        <v>44203</v>
      </c>
      <c r="L905" s="351" t="s">
        <v>1534</v>
      </c>
      <c r="M905" s="366">
        <v>44195</v>
      </c>
      <c r="N905" s="363"/>
      <c r="O905" s="363"/>
    </row>
    <row r="906" spans="1:15" s="351" customFormat="1" ht="14.1" customHeight="1" x14ac:dyDescent="0.3">
      <c r="A906" s="185" t="s">
        <v>1818</v>
      </c>
      <c r="B906" s="262" t="s">
        <v>1349</v>
      </c>
      <c r="C906" s="187" t="s">
        <v>1036</v>
      </c>
      <c r="D906" s="355" t="s">
        <v>552</v>
      </c>
      <c r="E906" s="361">
        <v>150</v>
      </c>
      <c r="F906" s="358" t="s">
        <v>20</v>
      </c>
      <c r="G906" s="353">
        <v>44200</v>
      </c>
      <c r="H906" s="360">
        <v>3243</v>
      </c>
      <c r="I906" s="188">
        <v>254</v>
      </c>
      <c r="J906" s="188">
        <f>+I906*H906</f>
        <v>823722</v>
      </c>
      <c r="K906" s="232">
        <v>44207</v>
      </c>
      <c r="L906" s="351" t="s">
        <v>2354</v>
      </c>
      <c r="M906" s="366">
        <v>44195</v>
      </c>
      <c r="N906" s="363"/>
      <c r="O906" s="363"/>
    </row>
    <row r="907" spans="1:15" s="351" customFormat="1" ht="14.1" customHeight="1" x14ac:dyDescent="0.3">
      <c r="A907" s="185" t="s">
        <v>1871</v>
      </c>
      <c r="B907" s="262" t="s">
        <v>1600</v>
      </c>
      <c r="C907" s="187" t="s">
        <v>2094</v>
      </c>
      <c r="D907" s="355" t="s">
        <v>2111</v>
      </c>
      <c r="E907" s="361">
        <v>120</v>
      </c>
      <c r="F907" s="358" t="s">
        <v>20</v>
      </c>
      <c r="G907" s="353">
        <v>44207</v>
      </c>
      <c r="H907" s="360">
        <v>252.7</v>
      </c>
      <c r="I907" s="188">
        <v>418</v>
      </c>
      <c r="J907" s="188">
        <v>105628.59999999999</v>
      </c>
      <c r="K907" s="232">
        <v>44208</v>
      </c>
      <c r="L907" s="476"/>
      <c r="M907" s="366">
        <v>44207</v>
      </c>
      <c r="N907" s="363"/>
      <c r="O907" s="363"/>
    </row>
    <row r="908" spans="1:15" s="351" customFormat="1" ht="14.1" customHeight="1" x14ac:dyDescent="0.25">
      <c r="A908" s="185" t="s">
        <v>1871</v>
      </c>
      <c r="B908" s="262" t="s">
        <v>2220</v>
      </c>
      <c r="C908" s="187" t="s">
        <v>2094</v>
      </c>
      <c r="D908" s="355" t="s">
        <v>2221</v>
      </c>
      <c r="E908" s="361"/>
      <c r="F908" s="358"/>
      <c r="G908" s="353">
        <v>44207</v>
      </c>
      <c r="H908" s="360"/>
      <c r="I908" s="188"/>
      <c r="J908" s="188">
        <v>-779.84</v>
      </c>
      <c r="K908" s="232">
        <v>44208</v>
      </c>
      <c r="M908" s="366">
        <v>44207</v>
      </c>
      <c r="N908" s="363"/>
      <c r="O908" s="363"/>
    </row>
    <row r="909" spans="1:15" s="351" customFormat="1" ht="14.1" customHeight="1" x14ac:dyDescent="0.3">
      <c r="A909" s="185" t="s">
        <v>2086</v>
      </c>
      <c r="B909" s="262" t="s">
        <v>1600</v>
      </c>
      <c r="C909" s="187" t="s">
        <v>2094</v>
      </c>
      <c r="D909" s="355" t="s">
        <v>2112</v>
      </c>
      <c r="E909" s="361">
        <v>120</v>
      </c>
      <c r="F909" s="358" t="s">
        <v>20</v>
      </c>
      <c r="G909" s="353">
        <v>44207</v>
      </c>
      <c r="H909" s="360">
        <v>56.17</v>
      </c>
      <c r="I909" s="188">
        <v>418</v>
      </c>
      <c r="J909" s="188">
        <v>23479.06</v>
      </c>
      <c r="K909" s="232">
        <v>44208</v>
      </c>
      <c r="M909" s="366">
        <v>44207</v>
      </c>
      <c r="N909" s="363"/>
      <c r="O909" s="363"/>
    </row>
    <row r="910" spans="1:15" s="351" customFormat="1" ht="14.1" customHeight="1" x14ac:dyDescent="0.3">
      <c r="A910" s="185" t="s">
        <v>1872</v>
      </c>
      <c r="B910" s="262" t="s">
        <v>1600</v>
      </c>
      <c r="C910" s="187" t="s">
        <v>2094</v>
      </c>
      <c r="D910" s="355" t="s">
        <v>2113</v>
      </c>
      <c r="E910" s="361">
        <v>120</v>
      </c>
      <c r="F910" s="358" t="s">
        <v>20</v>
      </c>
      <c r="G910" s="353">
        <v>44207</v>
      </c>
      <c r="H910" s="360">
        <v>252.67</v>
      </c>
      <c r="I910" s="188">
        <v>418</v>
      </c>
      <c r="J910" s="188">
        <v>105616.06</v>
      </c>
      <c r="K910" s="232">
        <v>44208</v>
      </c>
      <c r="M910" s="366">
        <v>44207</v>
      </c>
      <c r="N910" s="363"/>
      <c r="O910" s="363"/>
    </row>
    <row r="911" spans="1:15" s="351" customFormat="1" ht="14.1" customHeight="1" x14ac:dyDescent="0.3">
      <c r="A911" s="185" t="s">
        <v>2460</v>
      </c>
      <c r="B911" s="262" t="s">
        <v>1649</v>
      </c>
      <c r="C911" s="187" t="s">
        <v>331</v>
      </c>
      <c r="D911" s="355" t="s">
        <v>2560</v>
      </c>
      <c r="E911" s="361">
        <v>30</v>
      </c>
      <c r="F911" s="358" t="s">
        <v>45</v>
      </c>
      <c r="G911" s="353">
        <v>44209</v>
      </c>
      <c r="H911" s="360">
        <v>350</v>
      </c>
      <c r="I911" s="188">
        <v>233.09</v>
      </c>
      <c r="J911" s="188">
        <f t="shared" ref="J911:J917" si="27">+I911*H911</f>
        <v>81581.5</v>
      </c>
      <c r="K911" s="232">
        <v>44209</v>
      </c>
      <c r="M911" s="367">
        <v>44207</v>
      </c>
      <c r="N911" s="363"/>
      <c r="O911" s="363"/>
    </row>
    <row r="912" spans="1:15" s="351" customFormat="1" ht="14.1" customHeight="1" x14ac:dyDescent="0.3">
      <c r="A912" s="185" t="s">
        <v>2042</v>
      </c>
      <c r="B912" s="262" t="s">
        <v>1605</v>
      </c>
      <c r="C912" s="187" t="s">
        <v>1091</v>
      </c>
      <c r="D912" s="355" t="s">
        <v>2141</v>
      </c>
      <c r="E912" s="361">
        <v>90</v>
      </c>
      <c r="F912" s="358" t="s">
        <v>20</v>
      </c>
      <c r="G912" s="353">
        <v>44205</v>
      </c>
      <c r="H912" s="360">
        <v>1.0771200000000001</v>
      </c>
      <c r="I912" s="188">
        <v>7166.3262680785183</v>
      </c>
      <c r="J912" s="188">
        <f t="shared" si="27"/>
        <v>7718.9933498727341</v>
      </c>
      <c r="K912" s="232">
        <v>44210</v>
      </c>
      <c r="M912" s="367">
        <v>44195</v>
      </c>
      <c r="N912" s="363"/>
      <c r="O912" s="363"/>
    </row>
    <row r="913" spans="1:15" s="351" customFormat="1" ht="14.1" customHeight="1" x14ac:dyDescent="0.3">
      <c r="A913" s="185" t="s">
        <v>2043</v>
      </c>
      <c r="B913" s="262" t="s">
        <v>2044</v>
      </c>
      <c r="C913" s="187" t="s">
        <v>1091</v>
      </c>
      <c r="D913" s="355" t="s">
        <v>2141</v>
      </c>
      <c r="E913" s="361">
        <v>90</v>
      </c>
      <c r="F913" s="358" t="s">
        <v>20</v>
      </c>
      <c r="G913" s="353">
        <v>44205</v>
      </c>
      <c r="H913" s="360">
        <v>5.2223999999999995</v>
      </c>
      <c r="I913" s="188">
        <v>5877.1458812284136</v>
      </c>
      <c r="J913" s="188">
        <f t="shared" si="27"/>
        <v>30692.806650127262</v>
      </c>
      <c r="K913" s="232">
        <v>44210</v>
      </c>
      <c r="M913" s="367">
        <v>44195</v>
      </c>
      <c r="N913" s="363"/>
      <c r="O913" s="363"/>
    </row>
    <row r="914" spans="1:15" s="351" customFormat="1" ht="14.1" customHeight="1" x14ac:dyDescent="0.3">
      <c r="A914" s="185" t="s">
        <v>2462</v>
      </c>
      <c r="B914" s="262" t="s">
        <v>1649</v>
      </c>
      <c r="C914" s="187" t="s">
        <v>331</v>
      </c>
      <c r="D914" s="355" t="s">
        <v>2562</v>
      </c>
      <c r="E914" s="361">
        <v>30</v>
      </c>
      <c r="F914" s="358" t="s">
        <v>45</v>
      </c>
      <c r="G914" s="353">
        <v>44211</v>
      </c>
      <c r="H914" s="360">
        <v>450</v>
      </c>
      <c r="I914" s="188">
        <v>233.09</v>
      </c>
      <c r="J914" s="188">
        <f t="shared" si="27"/>
        <v>104890.5</v>
      </c>
      <c r="K914" s="232">
        <v>44212</v>
      </c>
      <c r="M914" s="369">
        <v>44207</v>
      </c>
      <c r="N914" s="363"/>
      <c r="O914" s="363"/>
    </row>
    <row r="915" spans="1:15" s="351" customFormat="1" ht="14.1" customHeight="1" x14ac:dyDescent="0.3">
      <c r="A915" s="185" t="s">
        <v>2463</v>
      </c>
      <c r="B915" s="262" t="s">
        <v>1649</v>
      </c>
      <c r="C915" s="187" t="s">
        <v>331</v>
      </c>
      <c r="D915" s="355" t="s">
        <v>2563</v>
      </c>
      <c r="E915" s="361">
        <v>30</v>
      </c>
      <c r="F915" s="358" t="s">
        <v>45</v>
      </c>
      <c r="G915" s="353">
        <v>44211</v>
      </c>
      <c r="H915" s="360">
        <v>425</v>
      </c>
      <c r="I915" s="188">
        <v>233.09</v>
      </c>
      <c r="J915" s="188">
        <f t="shared" si="27"/>
        <v>99063.25</v>
      </c>
      <c r="K915" s="232">
        <v>44212</v>
      </c>
      <c r="M915" s="369">
        <v>44207</v>
      </c>
      <c r="N915" s="363"/>
      <c r="O915" s="363"/>
    </row>
    <row r="916" spans="1:15" s="351" customFormat="1" ht="14.1" customHeight="1" x14ac:dyDescent="0.3">
      <c r="A916" s="185" t="s">
        <v>2400</v>
      </c>
      <c r="B916" s="262" t="s">
        <v>1782</v>
      </c>
      <c r="C916" s="187" t="s">
        <v>331</v>
      </c>
      <c r="D916" s="355" t="s">
        <v>2647</v>
      </c>
      <c r="E916" s="361" t="s">
        <v>5</v>
      </c>
      <c r="F916" s="358"/>
      <c r="G916" s="353">
        <v>44214</v>
      </c>
      <c r="H916" s="360">
        <v>1210</v>
      </c>
      <c r="I916" s="188">
        <v>393.5</v>
      </c>
      <c r="J916" s="188">
        <f t="shared" si="27"/>
        <v>476135</v>
      </c>
      <c r="K916" s="232">
        <v>44214</v>
      </c>
      <c r="M916" s="369">
        <v>44212</v>
      </c>
      <c r="N916" s="363"/>
      <c r="O916" s="363"/>
    </row>
    <row r="917" spans="1:15" s="351" customFormat="1" ht="14.1" customHeight="1" x14ac:dyDescent="0.3">
      <c r="A917" s="185" t="s">
        <v>2073</v>
      </c>
      <c r="B917" s="262" t="s">
        <v>502</v>
      </c>
      <c r="C917" s="187" t="s">
        <v>1497</v>
      </c>
      <c r="D917" s="355" t="s">
        <v>2383</v>
      </c>
      <c r="E917" s="361">
        <v>90</v>
      </c>
      <c r="F917" s="358" t="s">
        <v>20</v>
      </c>
      <c r="G917" s="353">
        <v>44211</v>
      </c>
      <c r="H917" s="360">
        <v>13.75</v>
      </c>
      <c r="I917" s="188">
        <v>458</v>
      </c>
      <c r="J917" s="188">
        <f t="shared" si="27"/>
        <v>6297.5</v>
      </c>
      <c r="K917" s="232">
        <v>44215</v>
      </c>
      <c r="M917" s="369">
        <v>44207</v>
      </c>
      <c r="N917" s="363"/>
      <c r="O917" s="363"/>
    </row>
    <row r="918" spans="1:15" s="351" customFormat="1" ht="14.1" customHeight="1" x14ac:dyDescent="0.3">
      <c r="A918" s="185" t="s">
        <v>2087</v>
      </c>
      <c r="B918" s="262" t="s">
        <v>1600</v>
      </c>
      <c r="C918" s="187" t="s">
        <v>2094</v>
      </c>
      <c r="D918" s="355" t="s">
        <v>2137</v>
      </c>
      <c r="E918" s="361">
        <v>120</v>
      </c>
      <c r="F918" s="358" t="s">
        <v>20</v>
      </c>
      <c r="G918" s="353">
        <v>44214</v>
      </c>
      <c r="H918" s="360">
        <v>84.24</v>
      </c>
      <c r="I918" s="188">
        <v>418</v>
      </c>
      <c r="J918" s="188">
        <v>35212.32</v>
      </c>
      <c r="K918" s="232">
        <v>44215</v>
      </c>
      <c r="M918" s="369">
        <v>44207</v>
      </c>
      <c r="N918" s="363"/>
      <c r="O918" s="363"/>
    </row>
    <row r="919" spans="1:15" s="351" customFormat="1" ht="14.1" customHeight="1" x14ac:dyDescent="0.3">
      <c r="A919" s="185" t="s">
        <v>1873</v>
      </c>
      <c r="B919" s="262" t="s">
        <v>1600</v>
      </c>
      <c r="C919" s="187" t="s">
        <v>2094</v>
      </c>
      <c r="D919" s="355" t="s">
        <v>2114</v>
      </c>
      <c r="E919" s="361">
        <v>120</v>
      </c>
      <c r="F919" s="358" t="s">
        <v>20</v>
      </c>
      <c r="G919" s="353">
        <v>44214</v>
      </c>
      <c r="H919" s="360">
        <v>140.38999999999999</v>
      </c>
      <c r="I919" s="188">
        <v>418</v>
      </c>
      <c r="J919" s="188">
        <v>58683.02</v>
      </c>
      <c r="K919" s="232">
        <v>44215</v>
      </c>
      <c r="M919" s="369">
        <v>44207</v>
      </c>
      <c r="N919" s="363"/>
      <c r="O919" s="363"/>
    </row>
    <row r="920" spans="1:15" s="351" customFormat="1" ht="14.1" customHeight="1" x14ac:dyDescent="0.3">
      <c r="A920" s="185" t="s">
        <v>1983</v>
      </c>
      <c r="B920" s="262" t="s">
        <v>1278</v>
      </c>
      <c r="C920" s="187" t="s">
        <v>2094</v>
      </c>
      <c r="D920" s="355" t="s">
        <v>2117</v>
      </c>
      <c r="E920" s="361">
        <v>120</v>
      </c>
      <c r="F920" s="358" t="s">
        <v>20</v>
      </c>
      <c r="G920" s="353">
        <v>44214</v>
      </c>
      <c r="H920" s="360">
        <v>21</v>
      </c>
      <c r="I920" s="188">
        <v>310</v>
      </c>
      <c r="J920" s="188">
        <v>6510</v>
      </c>
      <c r="K920" s="232">
        <v>44215</v>
      </c>
      <c r="M920" s="369">
        <v>44207</v>
      </c>
      <c r="N920" s="363"/>
      <c r="O920" s="363"/>
    </row>
    <row r="921" spans="1:15" s="351" customFormat="1" ht="14.1" customHeight="1" x14ac:dyDescent="0.3">
      <c r="A921" s="185" t="s">
        <v>1984</v>
      </c>
      <c r="B921" s="262" t="s">
        <v>1278</v>
      </c>
      <c r="C921" s="187" t="s">
        <v>2094</v>
      </c>
      <c r="D921" s="355" t="s">
        <v>2118</v>
      </c>
      <c r="E921" s="361">
        <v>120</v>
      </c>
      <c r="F921" s="358" t="s">
        <v>20</v>
      </c>
      <c r="G921" s="353">
        <v>44214</v>
      </c>
      <c r="H921" s="360">
        <v>63</v>
      </c>
      <c r="I921" s="188">
        <v>315</v>
      </c>
      <c r="J921" s="188">
        <v>19845</v>
      </c>
      <c r="K921" s="232">
        <v>44215</v>
      </c>
      <c r="M921" s="369">
        <v>44207</v>
      </c>
      <c r="N921" s="363"/>
      <c r="O921" s="363"/>
    </row>
    <row r="922" spans="1:15" s="351" customFormat="1" ht="14.1" customHeight="1" x14ac:dyDescent="0.3">
      <c r="A922" s="185" t="s">
        <v>2444</v>
      </c>
      <c r="B922" s="262" t="s">
        <v>1325</v>
      </c>
      <c r="C922" s="187" t="s">
        <v>16</v>
      </c>
      <c r="D922" s="355" t="s">
        <v>2514</v>
      </c>
      <c r="E922" s="361">
        <v>30</v>
      </c>
      <c r="F922" s="358" t="s">
        <v>20</v>
      </c>
      <c r="G922" s="353">
        <v>44216</v>
      </c>
      <c r="H922" s="360">
        <v>53.2</v>
      </c>
      <c r="I922" s="188">
        <v>807</v>
      </c>
      <c r="J922" s="188">
        <f>+I922*H922*0.8</f>
        <v>34345.920000000006</v>
      </c>
      <c r="K922" s="232">
        <v>44217</v>
      </c>
      <c r="L922" s="138">
        <v>0.8</v>
      </c>
      <c r="M922" s="369">
        <v>44207</v>
      </c>
      <c r="N922" s="363"/>
      <c r="O922" s="363"/>
    </row>
    <row r="923" spans="1:15" s="351" customFormat="1" ht="14.1" customHeight="1" x14ac:dyDescent="0.3">
      <c r="A923" s="185" t="s">
        <v>2445</v>
      </c>
      <c r="B923" s="262" t="s">
        <v>1325</v>
      </c>
      <c r="C923" s="187" t="s">
        <v>16</v>
      </c>
      <c r="D923" s="355" t="s">
        <v>2515</v>
      </c>
      <c r="E923" s="361">
        <v>30</v>
      </c>
      <c r="F923" s="358" t="s">
        <v>20</v>
      </c>
      <c r="G923" s="353">
        <v>44216</v>
      </c>
      <c r="H923" s="360">
        <v>53.2</v>
      </c>
      <c r="I923" s="188">
        <v>807</v>
      </c>
      <c r="J923" s="188">
        <f>+I923*H923*0.8</f>
        <v>34345.920000000006</v>
      </c>
      <c r="K923" s="232">
        <v>44217</v>
      </c>
      <c r="L923" s="138">
        <v>0.8</v>
      </c>
      <c r="M923" s="369">
        <v>44207</v>
      </c>
      <c r="N923" s="363"/>
      <c r="O923" s="363"/>
    </row>
    <row r="924" spans="1:15" s="351" customFormat="1" ht="14.1" customHeight="1" x14ac:dyDescent="0.3">
      <c r="A924" s="185" t="s">
        <v>1861</v>
      </c>
      <c r="B924" s="262" t="s">
        <v>1325</v>
      </c>
      <c r="C924" s="187" t="s">
        <v>1294</v>
      </c>
      <c r="D924" s="355" t="s">
        <v>2011</v>
      </c>
      <c r="E924" s="361">
        <v>150</v>
      </c>
      <c r="F924" s="358" t="s">
        <v>20</v>
      </c>
      <c r="G924" s="353">
        <v>44216</v>
      </c>
      <c r="H924" s="360">
        <v>319.2</v>
      </c>
      <c r="I924" s="188">
        <v>837</v>
      </c>
      <c r="J924" s="188">
        <f>+I924*H924</f>
        <v>267170.39999999997</v>
      </c>
      <c r="K924" s="232">
        <v>44217</v>
      </c>
      <c r="L924" s="138"/>
      <c r="M924" s="369">
        <v>44207</v>
      </c>
      <c r="N924" s="363"/>
      <c r="O924" s="363"/>
    </row>
    <row r="925" spans="1:15" s="351" customFormat="1" ht="14.1" customHeight="1" x14ac:dyDescent="0.3">
      <c r="A925" s="185" t="s">
        <v>2066</v>
      </c>
      <c r="B925" s="262" t="s">
        <v>1292</v>
      </c>
      <c r="C925" s="187" t="s">
        <v>280</v>
      </c>
      <c r="D925" s="355" t="s">
        <v>2078</v>
      </c>
      <c r="E925" s="361">
        <v>90</v>
      </c>
      <c r="F925" s="358" t="s">
        <v>20</v>
      </c>
      <c r="G925" s="353">
        <v>44218</v>
      </c>
      <c r="H925" s="360">
        <v>1200</v>
      </c>
      <c r="I925" s="188">
        <v>115.5</v>
      </c>
      <c r="J925" s="188">
        <v>138600</v>
      </c>
      <c r="K925" s="232">
        <v>44218</v>
      </c>
      <c r="L925" s="138"/>
      <c r="M925" s="369">
        <v>44212</v>
      </c>
      <c r="N925" s="363"/>
      <c r="O925" s="363"/>
    </row>
    <row r="926" spans="1:15" s="351" customFormat="1" ht="14.1" customHeight="1" x14ac:dyDescent="0.3">
      <c r="A926" s="185" t="s">
        <v>2067</v>
      </c>
      <c r="B926" s="262" t="s">
        <v>1292</v>
      </c>
      <c r="C926" s="187" t="s">
        <v>280</v>
      </c>
      <c r="D926" s="355" t="s">
        <v>2080</v>
      </c>
      <c r="E926" s="361">
        <v>90</v>
      </c>
      <c r="F926" s="358" t="s">
        <v>20</v>
      </c>
      <c r="G926" s="353">
        <v>44217</v>
      </c>
      <c r="H926" s="360">
        <v>200.4</v>
      </c>
      <c r="I926" s="188">
        <v>107</v>
      </c>
      <c r="J926" s="188">
        <v>21442.799999999999</v>
      </c>
      <c r="K926" s="232">
        <v>44218</v>
      </c>
      <c r="L926" s="138"/>
      <c r="M926" s="369">
        <v>44212</v>
      </c>
      <c r="N926" s="363"/>
      <c r="O926" s="363"/>
    </row>
    <row r="927" spans="1:15" s="351" customFormat="1" ht="14.1" customHeight="1" x14ac:dyDescent="0.3">
      <c r="A927" s="185" t="s">
        <v>1863</v>
      </c>
      <c r="B927" s="262" t="s">
        <v>1325</v>
      </c>
      <c r="C927" s="187" t="s">
        <v>1294</v>
      </c>
      <c r="D927" s="355" t="s">
        <v>2012</v>
      </c>
      <c r="E927" s="361">
        <v>150</v>
      </c>
      <c r="F927" s="358" t="s">
        <v>20</v>
      </c>
      <c r="G927" s="353">
        <v>44220</v>
      </c>
      <c r="H927" s="360">
        <v>319.2</v>
      </c>
      <c r="I927" s="188">
        <v>847</v>
      </c>
      <c r="J927" s="188">
        <f t="shared" ref="J927:J937" si="28">+I927*H927</f>
        <v>270362.39999999997</v>
      </c>
      <c r="K927" s="232">
        <v>44218</v>
      </c>
      <c r="M927" s="369">
        <v>44212</v>
      </c>
      <c r="N927" s="363"/>
      <c r="O927" s="363"/>
    </row>
    <row r="928" spans="1:15" s="351" customFormat="1" ht="14.1" customHeight="1" x14ac:dyDescent="0.3">
      <c r="A928" s="185" t="s">
        <v>2075</v>
      </c>
      <c r="B928" s="262" t="s">
        <v>1600</v>
      </c>
      <c r="C928" s="187" t="s">
        <v>1485</v>
      </c>
      <c r="D928" s="355" t="s">
        <v>2475</v>
      </c>
      <c r="E928" s="361">
        <v>90</v>
      </c>
      <c r="F928" s="358" t="s">
        <v>20</v>
      </c>
      <c r="G928" s="353">
        <v>44218</v>
      </c>
      <c r="H928" s="360">
        <v>160</v>
      </c>
      <c r="I928" s="188">
        <v>452</v>
      </c>
      <c r="J928" s="188">
        <f t="shared" si="28"/>
        <v>72320</v>
      </c>
      <c r="K928" s="232">
        <v>44218</v>
      </c>
      <c r="M928" s="369">
        <v>44212</v>
      </c>
      <c r="N928" s="363"/>
      <c r="O928" s="363"/>
    </row>
    <row r="929" spans="1:15" s="351" customFormat="1" ht="14.1" customHeight="1" x14ac:dyDescent="0.3">
      <c r="A929" s="185" t="s">
        <v>1817</v>
      </c>
      <c r="B929" s="262" t="s">
        <v>1388</v>
      </c>
      <c r="C929" s="187" t="s">
        <v>512</v>
      </c>
      <c r="D929" s="355" t="s">
        <v>552</v>
      </c>
      <c r="E929" s="361">
        <v>180</v>
      </c>
      <c r="F929" s="358" t="s">
        <v>20</v>
      </c>
      <c r="G929" s="353">
        <v>44224</v>
      </c>
      <c r="H929" s="360">
        <v>3850</v>
      </c>
      <c r="I929" s="188">
        <v>235</v>
      </c>
      <c r="J929" s="188">
        <f t="shared" si="28"/>
        <v>904750</v>
      </c>
      <c r="K929" s="232">
        <v>44228</v>
      </c>
      <c r="M929" s="370">
        <v>44222</v>
      </c>
      <c r="N929" s="363"/>
      <c r="O929" s="363"/>
    </row>
    <row r="930" spans="1:15" s="351" customFormat="1" ht="14.1" customHeight="1" x14ac:dyDescent="0.25">
      <c r="A930" s="185" t="s">
        <v>2690</v>
      </c>
      <c r="B930" s="262" t="s">
        <v>1384</v>
      </c>
      <c r="C930" s="187" t="s">
        <v>1385</v>
      </c>
      <c r="D930" s="355" t="s">
        <v>2695</v>
      </c>
      <c r="E930" s="361" t="s">
        <v>158</v>
      </c>
      <c r="F930" s="358"/>
      <c r="G930" s="353">
        <v>44224</v>
      </c>
      <c r="H930" s="360">
        <v>2</v>
      </c>
      <c r="I930" s="188">
        <v>4092</v>
      </c>
      <c r="J930" s="188">
        <f t="shared" si="28"/>
        <v>8184</v>
      </c>
      <c r="K930" s="232">
        <v>44228</v>
      </c>
      <c r="M930" s="370">
        <v>44222</v>
      </c>
      <c r="N930" s="363"/>
      <c r="O930" s="363"/>
    </row>
    <row r="931" spans="1:15" s="351" customFormat="1" ht="14.1" customHeight="1" x14ac:dyDescent="0.3">
      <c r="A931" s="185" t="s">
        <v>2071</v>
      </c>
      <c r="B931" s="262" t="s">
        <v>502</v>
      </c>
      <c r="C931" s="187" t="s">
        <v>1497</v>
      </c>
      <c r="D931" s="355" t="s">
        <v>2518</v>
      </c>
      <c r="E931" s="361">
        <v>90</v>
      </c>
      <c r="F931" s="358" t="s">
        <v>20</v>
      </c>
      <c r="G931" s="353">
        <v>44230</v>
      </c>
      <c r="H931" s="360">
        <v>297</v>
      </c>
      <c r="I931" s="188">
        <v>505</v>
      </c>
      <c r="J931" s="188">
        <f t="shared" si="28"/>
        <v>149985</v>
      </c>
      <c r="K931" s="232">
        <v>44231</v>
      </c>
      <c r="M931" s="370">
        <v>44230</v>
      </c>
      <c r="N931" s="363"/>
      <c r="O931" s="363"/>
    </row>
    <row r="932" spans="1:15" s="351" customFormat="1" ht="14.1" customHeight="1" x14ac:dyDescent="0.3">
      <c r="A932" s="185" t="s">
        <v>2072</v>
      </c>
      <c r="B932" s="262" t="s">
        <v>502</v>
      </c>
      <c r="C932" s="187" t="s">
        <v>1497</v>
      </c>
      <c r="D932" s="355" t="s">
        <v>2448</v>
      </c>
      <c r="E932" s="361">
        <v>90</v>
      </c>
      <c r="F932" s="358" t="s">
        <v>20</v>
      </c>
      <c r="G932" s="353">
        <v>44233</v>
      </c>
      <c r="H932" s="360">
        <v>46.25</v>
      </c>
      <c r="I932" s="188">
        <v>447</v>
      </c>
      <c r="J932" s="188">
        <f t="shared" si="28"/>
        <v>20673.75</v>
      </c>
      <c r="K932" s="232">
        <v>44231</v>
      </c>
      <c r="M932" s="370">
        <v>44230</v>
      </c>
      <c r="N932" s="363"/>
      <c r="O932" s="363"/>
    </row>
    <row r="933" spans="1:15" s="351" customFormat="1" ht="14.1" customHeight="1" x14ac:dyDescent="0.3">
      <c r="A933" s="185" t="s">
        <v>1993</v>
      </c>
      <c r="B933" s="262" t="s">
        <v>2000</v>
      </c>
      <c r="C933" s="187" t="s">
        <v>1532</v>
      </c>
      <c r="D933" s="355" t="s">
        <v>2473</v>
      </c>
      <c r="E933" s="361">
        <v>90</v>
      </c>
      <c r="F933" s="358" t="s">
        <v>20</v>
      </c>
      <c r="G933" s="353">
        <v>44235</v>
      </c>
      <c r="H933" s="360">
        <v>57.5</v>
      </c>
      <c r="I933" s="188">
        <v>1325</v>
      </c>
      <c r="J933" s="188">
        <f t="shared" si="28"/>
        <v>76187.5</v>
      </c>
      <c r="K933" s="232">
        <v>44238</v>
      </c>
      <c r="M933" s="377">
        <v>44230</v>
      </c>
      <c r="N933" s="363"/>
      <c r="O933" s="363"/>
    </row>
    <row r="934" spans="1:15" s="351" customFormat="1" ht="14.1" customHeight="1" x14ac:dyDescent="0.3">
      <c r="A934" s="185" t="s">
        <v>2120</v>
      </c>
      <c r="B934" s="262" t="s">
        <v>1292</v>
      </c>
      <c r="C934" s="187" t="s">
        <v>280</v>
      </c>
      <c r="D934" s="355" t="s">
        <v>2079</v>
      </c>
      <c r="E934" s="361">
        <v>90</v>
      </c>
      <c r="F934" s="358" t="s">
        <v>20</v>
      </c>
      <c r="G934" s="353">
        <v>44239</v>
      </c>
      <c r="H934" s="360">
        <v>600</v>
      </c>
      <c r="I934" s="188">
        <v>97.5</v>
      </c>
      <c r="J934" s="188">
        <f t="shared" si="28"/>
        <v>58500</v>
      </c>
      <c r="K934" s="232">
        <v>44239</v>
      </c>
      <c r="M934" s="377">
        <v>44236</v>
      </c>
      <c r="N934" s="363"/>
      <c r="O934" s="363"/>
    </row>
    <row r="935" spans="1:15" s="351" customFormat="1" ht="14.1" customHeight="1" x14ac:dyDescent="0.3">
      <c r="A935" s="185" t="s">
        <v>2312</v>
      </c>
      <c r="B935" s="262" t="s">
        <v>1326</v>
      </c>
      <c r="C935" s="187" t="s">
        <v>2076</v>
      </c>
      <c r="D935" s="355" t="s">
        <v>2696</v>
      </c>
      <c r="E935" s="361">
        <v>30</v>
      </c>
      <c r="F935" s="358" t="s">
        <v>20</v>
      </c>
      <c r="G935" s="353">
        <v>44239</v>
      </c>
      <c r="H935" s="360">
        <v>504</v>
      </c>
      <c r="I935" s="188">
        <v>410</v>
      </c>
      <c r="J935" s="188">
        <f t="shared" si="28"/>
        <v>206640</v>
      </c>
      <c r="K935" s="232">
        <v>44239</v>
      </c>
      <c r="L935" s="138"/>
      <c r="M935" s="377">
        <v>44236</v>
      </c>
      <c r="N935" s="363"/>
      <c r="O935" s="363"/>
    </row>
    <row r="936" spans="1:15" s="351" customFormat="1" ht="14.1" customHeight="1" x14ac:dyDescent="0.3">
      <c r="A936" s="185" t="s">
        <v>2315</v>
      </c>
      <c r="B936" s="262" t="s">
        <v>1326</v>
      </c>
      <c r="C936" s="187" t="s">
        <v>2076</v>
      </c>
      <c r="D936" s="355" t="s">
        <v>2697</v>
      </c>
      <c r="E936" s="361">
        <v>30</v>
      </c>
      <c r="F936" s="358" t="s">
        <v>20</v>
      </c>
      <c r="G936" s="353">
        <v>44239</v>
      </c>
      <c r="H936" s="360">
        <v>432</v>
      </c>
      <c r="I936" s="188">
        <v>400</v>
      </c>
      <c r="J936" s="188">
        <f t="shared" si="28"/>
        <v>172800</v>
      </c>
      <c r="K936" s="232">
        <v>44239</v>
      </c>
      <c r="L936" s="138"/>
      <c r="M936" s="377">
        <v>44236</v>
      </c>
      <c r="N936" s="363"/>
      <c r="O936" s="363"/>
    </row>
    <row r="937" spans="1:15" s="351" customFormat="1" ht="14.1" customHeight="1" x14ac:dyDescent="0.3">
      <c r="A937" s="185" t="s">
        <v>1985</v>
      </c>
      <c r="B937" s="262" t="s">
        <v>1293</v>
      </c>
      <c r="C937" s="187" t="s">
        <v>1294</v>
      </c>
      <c r="D937" s="355" t="s">
        <v>2119</v>
      </c>
      <c r="E937" s="361">
        <v>150</v>
      </c>
      <c r="F937" s="358" t="s">
        <v>20</v>
      </c>
      <c r="G937" s="353">
        <v>44244</v>
      </c>
      <c r="H937" s="360">
        <v>165</v>
      </c>
      <c r="I937" s="188">
        <v>225</v>
      </c>
      <c r="J937" s="188">
        <f t="shared" si="28"/>
        <v>37125</v>
      </c>
      <c r="K937" s="232">
        <v>44245</v>
      </c>
      <c r="M937" s="377">
        <v>44243</v>
      </c>
      <c r="N937" s="363"/>
      <c r="O937" s="363"/>
    </row>
    <row r="938" spans="1:15" s="351" customFormat="1" ht="14.1" customHeight="1" x14ac:dyDescent="0.3">
      <c r="A938" s="185" t="s">
        <v>2461</v>
      </c>
      <c r="B938" s="262" t="s">
        <v>1649</v>
      </c>
      <c r="C938" s="187" t="s">
        <v>331</v>
      </c>
      <c r="D938" s="355" t="s">
        <v>2561</v>
      </c>
      <c r="E938" s="361">
        <v>30</v>
      </c>
      <c r="F938" s="358" t="s">
        <v>45</v>
      </c>
      <c r="G938" s="353">
        <v>44246</v>
      </c>
      <c r="H938" s="360">
        <v>250</v>
      </c>
      <c r="I938" s="188">
        <v>233.09</v>
      </c>
      <c r="J938" s="188">
        <v>58272.5</v>
      </c>
      <c r="K938" s="232">
        <v>44246</v>
      </c>
      <c r="L938" s="138"/>
      <c r="M938" s="377">
        <v>44243</v>
      </c>
      <c r="N938" s="363"/>
      <c r="O938" s="363"/>
    </row>
    <row r="939" spans="1:15" s="351" customFormat="1" ht="14.1" customHeight="1" x14ac:dyDescent="0.3">
      <c r="A939" s="185" t="s">
        <v>2676</v>
      </c>
      <c r="B939" s="262" t="s">
        <v>1649</v>
      </c>
      <c r="C939" s="187" t="s">
        <v>331</v>
      </c>
      <c r="D939" s="355" t="s">
        <v>2694</v>
      </c>
      <c r="E939" s="361">
        <v>30</v>
      </c>
      <c r="F939" s="358" t="s">
        <v>45</v>
      </c>
      <c r="G939" s="353">
        <v>44246</v>
      </c>
      <c r="H939" s="360">
        <v>600</v>
      </c>
      <c r="I939" s="188">
        <v>230</v>
      </c>
      <c r="J939" s="188">
        <v>138000</v>
      </c>
      <c r="K939" s="232">
        <v>44246</v>
      </c>
      <c r="L939" s="138"/>
      <c r="M939" s="377">
        <v>44243</v>
      </c>
      <c r="N939" s="363"/>
      <c r="O939" s="363"/>
    </row>
    <row r="940" spans="1:15" s="351" customFormat="1" ht="14.1" customHeight="1" x14ac:dyDescent="0.3">
      <c r="A940" s="185" t="s">
        <v>2687</v>
      </c>
      <c r="B940" s="262" t="s">
        <v>1649</v>
      </c>
      <c r="C940" s="187" t="s">
        <v>331</v>
      </c>
      <c r="D940" s="355" t="s">
        <v>2729</v>
      </c>
      <c r="E940" s="361">
        <v>30</v>
      </c>
      <c r="F940" s="358" t="s">
        <v>45</v>
      </c>
      <c r="G940" s="353">
        <v>44246</v>
      </c>
      <c r="H940" s="360">
        <v>700</v>
      </c>
      <c r="I940" s="188">
        <v>230</v>
      </c>
      <c r="J940" s="188">
        <v>161000</v>
      </c>
      <c r="K940" s="232">
        <v>44246</v>
      </c>
      <c r="L940" s="138"/>
      <c r="M940" s="377">
        <v>44243</v>
      </c>
      <c r="N940" s="363"/>
      <c r="O940" s="363"/>
    </row>
    <row r="941" spans="1:15" s="351" customFormat="1" ht="14.1" customHeight="1" x14ac:dyDescent="0.3">
      <c r="A941" s="185" t="s">
        <v>2739</v>
      </c>
      <c r="B941" s="262" t="s">
        <v>1325</v>
      </c>
      <c r="C941" s="187" t="s">
        <v>16</v>
      </c>
      <c r="D941" s="355" t="s">
        <v>2740</v>
      </c>
      <c r="E941" s="361">
        <v>30</v>
      </c>
      <c r="F941" s="358" t="s">
        <v>20</v>
      </c>
      <c r="G941" s="353">
        <v>44246</v>
      </c>
      <c r="H941" s="360">
        <v>106.4</v>
      </c>
      <c r="I941" s="188">
        <v>807</v>
      </c>
      <c r="J941" s="188">
        <f>+I941*H941*0.8</f>
        <v>68691.840000000011</v>
      </c>
      <c r="K941" s="232">
        <v>44249</v>
      </c>
      <c r="L941" s="138">
        <v>0.8</v>
      </c>
      <c r="M941" s="377">
        <v>44243</v>
      </c>
      <c r="N941" s="363"/>
      <c r="O941" s="363"/>
    </row>
    <row r="942" spans="1:15" s="351" customFormat="1" ht="14.1" customHeight="1" x14ac:dyDescent="0.3">
      <c r="A942" s="185" t="s">
        <v>2334</v>
      </c>
      <c r="B942" s="262" t="s">
        <v>1326</v>
      </c>
      <c r="C942" s="187" t="s">
        <v>2076</v>
      </c>
      <c r="D942" s="355" t="s">
        <v>2741</v>
      </c>
      <c r="E942" s="361">
        <v>30</v>
      </c>
      <c r="F942" s="358" t="s">
        <v>20</v>
      </c>
      <c r="G942" s="353">
        <v>44246</v>
      </c>
      <c r="H942" s="360">
        <v>672</v>
      </c>
      <c r="I942" s="188">
        <v>432</v>
      </c>
      <c r="J942" s="188">
        <f>+I942*H942</f>
        <v>290304</v>
      </c>
      <c r="K942" s="232">
        <v>44249</v>
      </c>
      <c r="L942" s="138"/>
      <c r="M942" s="377">
        <v>44243</v>
      </c>
      <c r="N942" s="363"/>
      <c r="O942" s="363"/>
    </row>
    <row r="943" spans="1:15" s="351" customFormat="1" ht="14.1" customHeight="1" x14ac:dyDescent="0.3">
      <c r="A943" s="185" t="s">
        <v>2464</v>
      </c>
      <c r="B943" s="262" t="s">
        <v>1649</v>
      </c>
      <c r="C943" s="187" t="s">
        <v>331</v>
      </c>
      <c r="D943" s="355" t="s">
        <v>2564</v>
      </c>
      <c r="E943" s="361">
        <v>30</v>
      </c>
      <c r="F943" s="358" t="s">
        <v>45</v>
      </c>
      <c r="G943" s="353">
        <v>44249</v>
      </c>
      <c r="H943" s="360">
        <v>225</v>
      </c>
      <c r="I943" s="188">
        <v>233.09</v>
      </c>
      <c r="J943" s="188">
        <v>52445.25</v>
      </c>
      <c r="K943" s="232">
        <v>44249</v>
      </c>
      <c r="L943" s="138"/>
      <c r="M943" s="377">
        <v>44249</v>
      </c>
      <c r="N943" s="363"/>
      <c r="O943" s="363"/>
    </row>
    <row r="944" spans="1:15" s="351" customFormat="1" ht="14.1" customHeight="1" x14ac:dyDescent="0.3">
      <c r="A944" s="185" t="s">
        <v>2465</v>
      </c>
      <c r="B944" s="262" t="s">
        <v>1649</v>
      </c>
      <c r="C944" s="187" t="s">
        <v>331</v>
      </c>
      <c r="D944" s="355" t="s">
        <v>2565</v>
      </c>
      <c r="E944" s="361">
        <v>30</v>
      </c>
      <c r="F944" s="358" t="s">
        <v>45</v>
      </c>
      <c r="G944" s="353">
        <v>44251</v>
      </c>
      <c r="H944" s="360">
        <v>300</v>
      </c>
      <c r="I944" s="188">
        <v>233.09</v>
      </c>
      <c r="J944" s="188">
        <v>69927</v>
      </c>
      <c r="K944" s="232">
        <v>44249</v>
      </c>
      <c r="L944" s="138"/>
      <c r="M944" s="377">
        <v>44249</v>
      </c>
      <c r="N944" s="363"/>
      <c r="O944" s="363"/>
    </row>
    <row r="945" spans="1:15" s="351" customFormat="1" ht="14.1" customHeight="1" x14ac:dyDescent="0.3">
      <c r="A945" s="185" t="s">
        <v>2738</v>
      </c>
      <c r="B945" s="262" t="s">
        <v>1349</v>
      </c>
      <c r="C945" s="187" t="s">
        <v>928</v>
      </c>
      <c r="D945" s="355" t="s">
        <v>552</v>
      </c>
      <c r="E945" s="361">
        <v>120</v>
      </c>
      <c r="F945" s="358" t="s">
        <v>20</v>
      </c>
      <c r="G945" s="353">
        <v>44357</v>
      </c>
      <c r="H945" s="360">
        <v>7000</v>
      </c>
      <c r="I945" s="188">
        <v>370.13268409882141</v>
      </c>
      <c r="J945" s="188">
        <v>2590928.7886917498</v>
      </c>
      <c r="K945" s="232">
        <v>44237</v>
      </c>
      <c r="L945" s="138" t="s">
        <v>2825</v>
      </c>
      <c r="M945" s="381"/>
      <c r="N945" s="363"/>
      <c r="O945" s="363"/>
    </row>
    <row r="946" spans="1:15" s="351" customFormat="1" ht="14.1" customHeight="1" x14ac:dyDescent="0.3">
      <c r="A946" s="185" t="s">
        <v>2732</v>
      </c>
      <c r="B946" s="262" t="s">
        <v>1349</v>
      </c>
      <c r="C946" s="187" t="s">
        <v>928</v>
      </c>
      <c r="D946" s="355" t="s">
        <v>552</v>
      </c>
      <c r="E946" s="361">
        <v>120</v>
      </c>
      <c r="F946" s="358" t="s">
        <v>20</v>
      </c>
      <c r="G946" s="353">
        <v>44357</v>
      </c>
      <c r="H946" s="360">
        <v>2000</v>
      </c>
      <c r="I946" s="188">
        <v>398.37168997012117</v>
      </c>
      <c r="J946" s="188">
        <v>796743.37994024239</v>
      </c>
      <c r="K946" s="232">
        <v>44237</v>
      </c>
      <c r="L946" s="138" t="s">
        <v>2825</v>
      </c>
      <c r="M946" s="381"/>
      <c r="N946" s="363"/>
      <c r="O946" s="363"/>
    </row>
    <row r="947" spans="1:15" s="351" customFormat="1" ht="14.1" customHeight="1" x14ac:dyDescent="0.3">
      <c r="A947" s="185" t="s">
        <v>2723</v>
      </c>
      <c r="B947" s="262" t="s">
        <v>1386</v>
      </c>
      <c r="C947" s="187" t="s">
        <v>928</v>
      </c>
      <c r="D947" s="355" t="s">
        <v>552</v>
      </c>
      <c r="E947" s="361">
        <v>120</v>
      </c>
      <c r="F947" s="358" t="s">
        <v>20</v>
      </c>
      <c r="G947" s="353">
        <v>44357</v>
      </c>
      <c r="H947" s="360">
        <v>880</v>
      </c>
      <c r="I947" s="188">
        <v>403.41436958999611</v>
      </c>
      <c r="J947" s="188">
        <v>355004.6452391966</v>
      </c>
      <c r="K947" s="232">
        <v>44237</v>
      </c>
      <c r="L947" s="138" t="s">
        <v>2825</v>
      </c>
      <c r="M947" s="381"/>
      <c r="N947" s="363"/>
      <c r="O947" s="363"/>
    </row>
    <row r="948" spans="1:15" s="351" customFormat="1" ht="14.1" customHeight="1" x14ac:dyDescent="0.25">
      <c r="A948" s="185" t="s">
        <v>2646</v>
      </c>
      <c r="B948" s="262" t="s">
        <v>1274</v>
      </c>
      <c r="C948" s="187" t="s">
        <v>277</v>
      </c>
      <c r="D948" s="355" t="s">
        <v>2826</v>
      </c>
      <c r="E948" s="361" t="s">
        <v>5</v>
      </c>
      <c r="F948" s="358"/>
      <c r="G948" s="353">
        <v>44262</v>
      </c>
      <c r="H948" s="360">
        <v>979.2</v>
      </c>
      <c r="I948" s="188">
        <v>365</v>
      </c>
      <c r="J948" s="188">
        <f t="shared" ref="J948:J953" si="29">+I948*H948</f>
        <v>357408</v>
      </c>
      <c r="K948" s="232">
        <v>44263</v>
      </c>
      <c r="L948" s="138"/>
      <c r="M948" s="381">
        <v>44257</v>
      </c>
      <c r="N948" s="363"/>
      <c r="O948" s="363"/>
    </row>
    <row r="949" spans="1:15" s="351" customFormat="1" ht="14.1" customHeight="1" x14ac:dyDescent="0.3">
      <c r="A949" s="185" t="s">
        <v>2082</v>
      </c>
      <c r="B949" s="262" t="s">
        <v>1409</v>
      </c>
      <c r="C949" s="187" t="s">
        <v>1433</v>
      </c>
      <c r="D949" s="355" t="s">
        <v>552</v>
      </c>
      <c r="E949" s="361">
        <v>150</v>
      </c>
      <c r="F949" s="358" t="s">
        <v>20</v>
      </c>
      <c r="G949" s="353">
        <v>44260</v>
      </c>
      <c r="H949" s="360">
        <v>9900</v>
      </c>
      <c r="I949" s="188">
        <v>252</v>
      </c>
      <c r="J949" s="188">
        <f t="shared" si="29"/>
        <v>2494800</v>
      </c>
      <c r="K949" s="232">
        <v>44263</v>
      </c>
      <c r="L949" s="138" t="s">
        <v>1534</v>
      </c>
      <c r="M949" s="381">
        <v>44257</v>
      </c>
      <c r="N949" s="363"/>
      <c r="O949" s="363"/>
    </row>
    <row r="950" spans="1:15" s="351" customFormat="1" ht="14.1" customHeight="1" x14ac:dyDescent="0.3">
      <c r="A950" s="185" t="s">
        <v>2083</v>
      </c>
      <c r="B950" s="262" t="s">
        <v>1349</v>
      </c>
      <c r="C950" s="187" t="s">
        <v>1433</v>
      </c>
      <c r="D950" s="355" t="s">
        <v>552</v>
      </c>
      <c r="E950" s="361">
        <v>150</v>
      </c>
      <c r="F950" s="358" t="s">
        <v>20</v>
      </c>
      <c r="G950" s="353">
        <v>44260</v>
      </c>
      <c r="H950" s="360">
        <v>4500</v>
      </c>
      <c r="I950" s="188">
        <v>301.8</v>
      </c>
      <c r="J950" s="188">
        <f t="shared" si="29"/>
        <v>1358100</v>
      </c>
      <c r="K950" s="232">
        <v>44263</v>
      </c>
      <c r="L950" s="138" t="s">
        <v>1534</v>
      </c>
      <c r="M950" s="381">
        <v>44257</v>
      </c>
      <c r="N950" s="363"/>
      <c r="O950" s="363"/>
    </row>
    <row r="951" spans="1:15" s="351" customFormat="1" ht="14.1" customHeight="1" x14ac:dyDescent="0.3">
      <c r="A951" s="185" t="s">
        <v>2333</v>
      </c>
      <c r="B951" s="262" t="s">
        <v>1325</v>
      </c>
      <c r="C951" s="187" t="s">
        <v>928</v>
      </c>
      <c r="D951" s="355" t="s">
        <v>2794</v>
      </c>
      <c r="E951" s="361">
        <v>90</v>
      </c>
      <c r="F951" s="358" t="s">
        <v>20</v>
      </c>
      <c r="G951" s="353">
        <v>44260</v>
      </c>
      <c r="H951" s="360">
        <v>456</v>
      </c>
      <c r="I951" s="188">
        <v>880</v>
      </c>
      <c r="J951" s="188">
        <f t="shared" si="29"/>
        <v>401280</v>
      </c>
      <c r="K951" s="232">
        <v>44263</v>
      </c>
      <c r="L951" s="138"/>
      <c r="M951" s="381">
        <v>44257</v>
      </c>
      <c r="N951" s="363"/>
      <c r="O951" s="363"/>
    </row>
    <row r="952" spans="1:15" s="351" customFormat="1" ht="14.1" customHeight="1" x14ac:dyDescent="0.25">
      <c r="A952" s="185" t="s">
        <v>514</v>
      </c>
      <c r="B952" s="262" t="s">
        <v>1388</v>
      </c>
      <c r="C952" s="187" t="s">
        <v>928</v>
      </c>
      <c r="D952" s="355" t="s">
        <v>2520</v>
      </c>
      <c r="E952" s="361"/>
      <c r="F952" s="358"/>
      <c r="G952" s="353">
        <v>44260</v>
      </c>
      <c r="H952" s="360">
        <v>330</v>
      </c>
      <c r="I952" s="188">
        <v>-10</v>
      </c>
      <c r="J952" s="188">
        <f t="shared" si="29"/>
        <v>-3300</v>
      </c>
      <c r="K952" s="232">
        <v>44263</v>
      </c>
      <c r="L952" s="138"/>
      <c r="M952" s="381">
        <v>44144</v>
      </c>
      <c r="N952" s="363"/>
      <c r="O952" s="363"/>
    </row>
    <row r="953" spans="1:15" s="351" customFormat="1" ht="14.1" customHeight="1" x14ac:dyDescent="0.3">
      <c r="A953" s="185" t="s">
        <v>2121</v>
      </c>
      <c r="B953" s="262" t="s">
        <v>1292</v>
      </c>
      <c r="C953" s="187" t="s">
        <v>280</v>
      </c>
      <c r="D953" s="355" t="s">
        <v>2079</v>
      </c>
      <c r="E953" s="361">
        <v>90</v>
      </c>
      <c r="F953" s="358" t="s">
        <v>20</v>
      </c>
      <c r="G953" s="353">
        <v>44260</v>
      </c>
      <c r="H953" s="360">
        <v>600</v>
      </c>
      <c r="I953" s="188">
        <v>97.5</v>
      </c>
      <c r="J953" s="188">
        <f t="shared" si="29"/>
        <v>58500</v>
      </c>
      <c r="K953" s="232">
        <v>44263</v>
      </c>
      <c r="L953" s="138"/>
      <c r="M953" s="381">
        <v>44257</v>
      </c>
      <c r="N953" s="363"/>
      <c r="O953" s="363"/>
    </row>
    <row r="954" spans="1:15" s="351" customFormat="1" ht="14.1" customHeight="1" x14ac:dyDescent="0.25">
      <c r="A954" s="185" t="s">
        <v>514</v>
      </c>
      <c r="B954" s="262" t="s">
        <v>1292</v>
      </c>
      <c r="C954" s="187" t="s">
        <v>280</v>
      </c>
      <c r="D954" s="355"/>
      <c r="E954" s="361"/>
      <c r="F954" s="358"/>
      <c r="G954" s="353">
        <v>44260</v>
      </c>
      <c r="H954" s="360"/>
      <c r="I954" s="188"/>
      <c r="J954" s="188">
        <v>-2632.5</v>
      </c>
      <c r="K954" s="232">
        <v>44263</v>
      </c>
      <c r="L954" s="138"/>
      <c r="M954" s="381"/>
      <c r="N954" s="363"/>
      <c r="O954" s="363"/>
    </row>
    <row r="955" spans="1:15" s="351" customFormat="1" ht="14.1" customHeight="1" x14ac:dyDescent="0.3">
      <c r="A955" s="185" t="s">
        <v>2804</v>
      </c>
      <c r="B955" s="262" t="s">
        <v>1525</v>
      </c>
      <c r="C955" s="187" t="s">
        <v>331</v>
      </c>
      <c r="D955" s="355" t="s">
        <v>2828</v>
      </c>
      <c r="E955" s="361" t="s">
        <v>5</v>
      </c>
      <c r="F955" s="358"/>
      <c r="G955" s="353">
        <v>44263</v>
      </c>
      <c r="H955" s="360">
        <v>241.29</v>
      </c>
      <c r="I955" s="188">
        <v>561.41999999999996</v>
      </c>
      <c r="J955" s="188">
        <f t="shared" ref="J955:J964" si="30">+I955*H955</f>
        <v>135465.0318</v>
      </c>
      <c r="K955" s="232">
        <v>44266</v>
      </c>
      <c r="L955" s="138"/>
      <c r="M955" s="382">
        <v>44266</v>
      </c>
      <c r="N955" s="363"/>
      <c r="O955" s="363"/>
    </row>
    <row r="956" spans="1:15" s="351" customFormat="1" ht="14.1" customHeight="1" x14ac:dyDescent="0.3">
      <c r="A956" s="185" t="s">
        <v>2135</v>
      </c>
      <c r="B956" s="262" t="s">
        <v>1278</v>
      </c>
      <c r="C956" s="187" t="s">
        <v>2094</v>
      </c>
      <c r="D956" s="355" t="s">
        <v>2478</v>
      </c>
      <c r="E956" s="361">
        <v>120</v>
      </c>
      <c r="F956" s="358" t="s">
        <v>1297</v>
      </c>
      <c r="G956" s="353">
        <v>44263</v>
      </c>
      <c r="H956" s="360">
        <v>105</v>
      </c>
      <c r="I956" s="188">
        <v>315</v>
      </c>
      <c r="J956" s="188">
        <f t="shared" si="30"/>
        <v>33075</v>
      </c>
      <c r="K956" s="232">
        <v>44267</v>
      </c>
      <c r="L956" s="138"/>
      <c r="M956" s="382">
        <v>44257</v>
      </c>
      <c r="N956" s="363"/>
      <c r="O956" s="363"/>
    </row>
    <row r="957" spans="1:15" s="351" customFormat="1" ht="14.1" customHeight="1" x14ac:dyDescent="0.3">
      <c r="A957" s="185" t="s">
        <v>2070</v>
      </c>
      <c r="B957" s="262" t="s">
        <v>2077</v>
      </c>
      <c r="C957" s="187" t="s">
        <v>890</v>
      </c>
      <c r="D957" s="355" t="s">
        <v>2081</v>
      </c>
      <c r="E957" s="361">
        <v>120</v>
      </c>
      <c r="F957" s="358" t="s">
        <v>45</v>
      </c>
      <c r="G957" s="353">
        <v>44270</v>
      </c>
      <c r="H957" s="360">
        <v>100</v>
      </c>
      <c r="I957" s="188">
        <v>345</v>
      </c>
      <c r="J957" s="188">
        <f t="shared" si="30"/>
        <v>34500</v>
      </c>
      <c r="K957" s="232">
        <v>44267</v>
      </c>
      <c r="L957" s="138"/>
      <c r="M957" s="382">
        <v>44266</v>
      </c>
      <c r="N957" s="363"/>
      <c r="O957" s="363"/>
    </row>
    <row r="958" spans="1:15" s="351" customFormat="1" ht="14.1" customHeight="1" x14ac:dyDescent="0.3">
      <c r="A958" s="185" t="s">
        <v>2122</v>
      </c>
      <c r="B958" s="262" t="s">
        <v>1600</v>
      </c>
      <c r="C958" s="187" t="s">
        <v>2094</v>
      </c>
      <c r="D958" s="355" t="s">
        <v>2476</v>
      </c>
      <c r="E958" s="361">
        <v>120</v>
      </c>
      <c r="F958" s="358" t="s">
        <v>20</v>
      </c>
      <c r="G958" s="353">
        <v>44270</v>
      </c>
      <c r="H958" s="360">
        <v>476.09</v>
      </c>
      <c r="I958" s="188">
        <v>430</v>
      </c>
      <c r="J958" s="188">
        <f t="shared" si="30"/>
        <v>204718.69999999998</v>
      </c>
      <c r="K958" s="232">
        <v>44267</v>
      </c>
      <c r="L958" s="138"/>
      <c r="M958" s="382">
        <v>44266</v>
      </c>
      <c r="N958" s="363"/>
      <c r="O958" s="363"/>
    </row>
    <row r="959" spans="1:15" s="351" customFormat="1" ht="14.1" customHeight="1" x14ac:dyDescent="0.3">
      <c r="A959" s="185" t="s">
        <v>2505</v>
      </c>
      <c r="B959" s="262" t="s">
        <v>1292</v>
      </c>
      <c r="C959" s="187" t="s">
        <v>1497</v>
      </c>
      <c r="D959" s="355" t="s">
        <v>2811</v>
      </c>
      <c r="E959" s="361">
        <v>90</v>
      </c>
      <c r="F959" s="358" t="s">
        <v>20</v>
      </c>
      <c r="G959" s="353">
        <v>44267</v>
      </c>
      <c r="H959" s="360">
        <v>215</v>
      </c>
      <c r="I959" s="188">
        <v>120</v>
      </c>
      <c r="J959" s="188">
        <f t="shared" si="30"/>
        <v>25800</v>
      </c>
      <c r="K959" s="232">
        <v>44270</v>
      </c>
      <c r="L959" s="138"/>
      <c r="M959" s="382">
        <v>44266</v>
      </c>
      <c r="N959" s="363"/>
      <c r="O959" s="363"/>
    </row>
    <row r="960" spans="1:15" s="351" customFormat="1" ht="14.1" customHeight="1" x14ac:dyDescent="0.3">
      <c r="A960" s="185" t="s">
        <v>1906</v>
      </c>
      <c r="B960" s="262" t="s">
        <v>1326</v>
      </c>
      <c r="C960" s="187" t="s">
        <v>905</v>
      </c>
      <c r="D960" s="355" t="s">
        <v>2092</v>
      </c>
      <c r="E960" s="361">
        <v>180</v>
      </c>
      <c r="F960" s="358" t="s">
        <v>20</v>
      </c>
      <c r="G960" s="353">
        <v>44270</v>
      </c>
      <c r="H960" s="360">
        <v>408</v>
      </c>
      <c r="I960" s="188">
        <v>417.3147493199827</v>
      </c>
      <c r="J960" s="188">
        <f t="shared" si="30"/>
        <v>170264.41772255293</v>
      </c>
      <c r="K960" s="232">
        <v>44270</v>
      </c>
      <c r="L960" s="138" t="s">
        <v>2354</v>
      </c>
      <c r="M960" s="382">
        <v>44098</v>
      </c>
      <c r="N960" s="363"/>
      <c r="O960" s="363"/>
    </row>
    <row r="961" spans="1:15" s="351" customFormat="1" ht="14.1" customHeight="1" x14ac:dyDescent="0.3">
      <c r="A961" s="185" t="s">
        <v>2800</v>
      </c>
      <c r="B961" s="262" t="s">
        <v>1649</v>
      </c>
      <c r="C961" s="187" t="s">
        <v>331</v>
      </c>
      <c r="D961" s="355" t="s">
        <v>2809</v>
      </c>
      <c r="E961" s="361">
        <v>30</v>
      </c>
      <c r="F961" s="358" t="s">
        <v>45</v>
      </c>
      <c r="G961" s="353">
        <v>44273</v>
      </c>
      <c r="H961" s="360">
        <v>513</v>
      </c>
      <c r="I961" s="188">
        <v>230</v>
      </c>
      <c r="J961" s="188">
        <f t="shared" si="30"/>
        <v>117990</v>
      </c>
      <c r="K961" s="232">
        <v>44273</v>
      </c>
      <c r="L961" s="138"/>
      <c r="M961" s="382">
        <v>44266</v>
      </c>
      <c r="N961" s="363"/>
      <c r="O961" s="363"/>
    </row>
    <row r="962" spans="1:15" s="351" customFormat="1" ht="14.1" customHeight="1" x14ac:dyDescent="0.3">
      <c r="A962" s="185" t="s">
        <v>2801</v>
      </c>
      <c r="B962" s="262" t="s">
        <v>1649</v>
      </c>
      <c r="C962" s="187" t="s">
        <v>331</v>
      </c>
      <c r="D962" s="355" t="s">
        <v>2810</v>
      </c>
      <c r="E962" s="361">
        <v>30</v>
      </c>
      <c r="F962" s="358" t="s">
        <v>45</v>
      </c>
      <c r="G962" s="353">
        <v>44274</v>
      </c>
      <c r="H962" s="360">
        <v>648</v>
      </c>
      <c r="I962" s="188">
        <v>230</v>
      </c>
      <c r="J962" s="188">
        <f t="shared" si="30"/>
        <v>149040</v>
      </c>
      <c r="K962" s="232">
        <v>44273</v>
      </c>
      <c r="L962" s="138"/>
      <c r="M962" s="382">
        <v>44266</v>
      </c>
      <c r="N962" s="363"/>
      <c r="O962" s="363"/>
    </row>
    <row r="963" spans="1:15" s="351" customFormat="1" ht="14.1" customHeight="1" x14ac:dyDescent="0.25">
      <c r="A963" s="185" t="s">
        <v>2508</v>
      </c>
      <c r="B963" s="262" t="s">
        <v>1293</v>
      </c>
      <c r="C963" s="187" t="s">
        <v>2512</v>
      </c>
      <c r="D963" s="355" t="s">
        <v>2827</v>
      </c>
      <c r="E963" s="361" t="s">
        <v>5</v>
      </c>
      <c r="F963" s="358"/>
      <c r="G963" s="353">
        <v>44277</v>
      </c>
      <c r="H963" s="360">
        <v>100.1</v>
      </c>
      <c r="I963" s="188">
        <v>227</v>
      </c>
      <c r="J963" s="188">
        <f t="shared" si="30"/>
        <v>22722.699999999997</v>
      </c>
      <c r="K963" s="232">
        <v>44277</v>
      </c>
      <c r="L963" s="138"/>
      <c r="M963" s="383">
        <v>44274</v>
      </c>
      <c r="N963" s="363"/>
      <c r="O963" s="363"/>
    </row>
    <row r="964" spans="1:15" s="351" customFormat="1" ht="14.1" customHeight="1" x14ac:dyDescent="0.3">
      <c r="A964" s="185" t="s">
        <v>2404</v>
      </c>
      <c r="B964" s="262" t="s">
        <v>1292</v>
      </c>
      <c r="C964" s="187" t="s">
        <v>280</v>
      </c>
      <c r="D964" s="355" t="s">
        <v>2472</v>
      </c>
      <c r="E964" s="361">
        <v>90</v>
      </c>
      <c r="F964" s="358" t="s">
        <v>20</v>
      </c>
      <c r="G964" s="353">
        <v>44274</v>
      </c>
      <c r="H964" s="360">
        <v>350.4</v>
      </c>
      <c r="I964" s="188">
        <v>99.5</v>
      </c>
      <c r="J964" s="188">
        <f t="shared" si="30"/>
        <v>34864.799999999996</v>
      </c>
      <c r="K964" s="232">
        <v>44277</v>
      </c>
      <c r="L964" s="138"/>
      <c r="M964" s="383">
        <v>44273</v>
      </c>
      <c r="N964" s="363"/>
      <c r="O964" s="363"/>
    </row>
    <row r="965" spans="1:15" s="351" customFormat="1" ht="14.1" customHeight="1" x14ac:dyDescent="0.25">
      <c r="A965" s="185" t="s">
        <v>514</v>
      </c>
      <c r="B965" s="262" t="s">
        <v>1292</v>
      </c>
      <c r="C965" s="187" t="s">
        <v>280</v>
      </c>
      <c r="D965" s="355"/>
      <c r="E965" s="361"/>
      <c r="F965" s="358"/>
      <c r="G965" s="353">
        <v>44274</v>
      </c>
      <c r="H965" s="360"/>
      <c r="I965" s="188"/>
      <c r="J965" s="188">
        <v>-1568.92</v>
      </c>
      <c r="K965" s="232">
        <v>44277</v>
      </c>
      <c r="L965" s="138"/>
      <c r="M965" s="383">
        <v>44273</v>
      </c>
      <c r="N965" s="363"/>
      <c r="O965" s="363"/>
    </row>
    <row r="966" spans="1:15" s="351" customFormat="1" ht="14.1" customHeight="1" x14ac:dyDescent="0.3">
      <c r="A966" s="185" t="s">
        <v>2504</v>
      </c>
      <c r="B966" s="262" t="s">
        <v>1292</v>
      </c>
      <c r="C966" s="187" t="s">
        <v>1497</v>
      </c>
      <c r="D966" s="355" t="s">
        <v>2644</v>
      </c>
      <c r="E966" s="361">
        <v>90</v>
      </c>
      <c r="F966" s="358" t="s">
        <v>20</v>
      </c>
      <c r="G966" s="353">
        <v>44277</v>
      </c>
      <c r="H966" s="360">
        <v>795</v>
      </c>
      <c r="I966" s="188">
        <v>117</v>
      </c>
      <c r="J966" s="188">
        <f t="shared" ref="J966:J972" si="31">+I966*H966</f>
        <v>93015</v>
      </c>
      <c r="K966" s="232">
        <v>44274</v>
      </c>
      <c r="L966" s="138"/>
      <c r="M966" s="383">
        <v>44273</v>
      </c>
      <c r="N966" s="363"/>
      <c r="O966" s="363"/>
    </row>
    <row r="967" spans="1:15" s="351" customFormat="1" ht="14.1" customHeight="1" x14ac:dyDescent="0.3">
      <c r="A967" s="185" t="s">
        <v>2805</v>
      </c>
      <c r="B967" s="262" t="s">
        <v>1785</v>
      </c>
      <c r="C967" s="187" t="s">
        <v>331</v>
      </c>
      <c r="D967" s="355" t="s">
        <v>2882</v>
      </c>
      <c r="E967" s="361" t="s">
        <v>5</v>
      </c>
      <c r="F967" s="358"/>
      <c r="G967" s="353">
        <v>44278</v>
      </c>
      <c r="H967" s="360">
        <v>53.5</v>
      </c>
      <c r="I967" s="188">
        <v>278.05</v>
      </c>
      <c r="J967" s="188">
        <f t="shared" si="31"/>
        <v>14875.675000000001</v>
      </c>
      <c r="K967" s="232">
        <v>44279</v>
      </c>
      <c r="L967" s="138"/>
      <c r="M967" s="383">
        <v>44273</v>
      </c>
      <c r="N967" s="363"/>
      <c r="O967" s="363"/>
    </row>
    <row r="968" spans="1:15" s="351" customFormat="1" ht="14.1" customHeight="1" x14ac:dyDescent="0.3">
      <c r="A968" s="185" t="s">
        <v>2806</v>
      </c>
      <c r="B968" s="262" t="s">
        <v>1785</v>
      </c>
      <c r="C968" s="187" t="s">
        <v>331</v>
      </c>
      <c r="D968" s="355" t="s">
        <v>2883</v>
      </c>
      <c r="E968" s="361" t="s">
        <v>5</v>
      </c>
      <c r="F968" s="358"/>
      <c r="G968" s="353">
        <v>44278</v>
      </c>
      <c r="H968" s="360">
        <v>53.7</v>
      </c>
      <c r="I968" s="188">
        <v>280.64999999999998</v>
      </c>
      <c r="J968" s="188">
        <f t="shared" si="31"/>
        <v>15070.904999999999</v>
      </c>
      <c r="K968" s="232">
        <v>44279</v>
      </c>
      <c r="L968" s="138"/>
      <c r="M968" s="383">
        <v>44273</v>
      </c>
      <c r="N968" s="363"/>
      <c r="O968" s="363"/>
    </row>
    <row r="969" spans="1:15" s="351" customFormat="1" ht="14.1" customHeight="1" x14ac:dyDescent="0.3">
      <c r="A969" s="185" t="s">
        <v>1904</v>
      </c>
      <c r="B969" s="262" t="s">
        <v>1326</v>
      </c>
      <c r="C969" s="187" t="s">
        <v>905</v>
      </c>
      <c r="D969" s="355" t="s">
        <v>2095</v>
      </c>
      <c r="E969" s="361">
        <v>180</v>
      </c>
      <c r="F969" s="358" t="s">
        <v>20</v>
      </c>
      <c r="G969" s="353">
        <v>44277</v>
      </c>
      <c r="H969" s="360">
        <v>264</v>
      </c>
      <c r="I969" s="188">
        <v>412.22554505998289</v>
      </c>
      <c r="J969" s="188">
        <f t="shared" si="31"/>
        <v>108827.54389583548</v>
      </c>
      <c r="K969" s="232">
        <v>44277</v>
      </c>
      <c r="L969" s="138" t="s">
        <v>2354</v>
      </c>
      <c r="M969" s="383">
        <v>44273</v>
      </c>
      <c r="N969" s="363"/>
      <c r="O969" s="363"/>
    </row>
    <row r="970" spans="1:15" s="351" customFormat="1" ht="14.1" customHeight="1" x14ac:dyDescent="0.25">
      <c r="A970" s="185" t="s">
        <v>2719</v>
      </c>
      <c r="B970" s="262" t="s">
        <v>653</v>
      </c>
      <c r="C970" s="187" t="s">
        <v>1497</v>
      </c>
      <c r="D970" s="355" t="s">
        <v>2878</v>
      </c>
      <c r="E970" s="361" t="s">
        <v>5</v>
      </c>
      <c r="F970" s="358"/>
      <c r="G970" s="353">
        <v>44280</v>
      </c>
      <c r="H970" s="360">
        <v>552</v>
      </c>
      <c r="I970" s="188">
        <v>640</v>
      </c>
      <c r="J970" s="188">
        <f t="shared" si="31"/>
        <v>353280</v>
      </c>
      <c r="K970" s="232">
        <v>44284</v>
      </c>
      <c r="L970" s="138"/>
      <c r="M970" s="383">
        <v>44277</v>
      </c>
      <c r="N970" s="363"/>
      <c r="O970" s="363"/>
    </row>
    <row r="971" spans="1:15" s="351" customFormat="1" ht="14.1" customHeight="1" x14ac:dyDescent="0.25">
      <c r="A971" s="185" t="s">
        <v>2720</v>
      </c>
      <c r="B971" s="262" t="s">
        <v>653</v>
      </c>
      <c r="C971" s="187" t="s">
        <v>1497</v>
      </c>
      <c r="D971" s="355" t="s">
        <v>2879</v>
      </c>
      <c r="E971" s="361" t="s">
        <v>5</v>
      </c>
      <c r="F971" s="358"/>
      <c r="G971" s="353">
        <v>44280</v>
      </c>
      <c r="H971" s="360">
        <v>456</v>
      </c>
      <c r="I971" s="188">
        <v>635</v>
      </c>
      <c r="J971" s="188">
        <f t="shared" si="31"/>
        <v>289560</v>
      </c>
      <c r="K971" s="232">
        <v>44284</v>
      </c>
      <c r="L971" s="138"/>
      <c r="M971" s="383">
        <v>44277</v>
      </c>
      <c r="N971" s="363"/>
      <c r="O971" s="363"/>
    </row>
    <row r="972" spans="1:15" s="351" customFormat="1" ht="14.1" customHeight="1" x14ac:dyDescent="0.3">
      <c r="A972" s="185" t="s">
        <v>1905</v>
      </c>
      <c r="B972" s="262" t="s">
        <v>1326</v>
      </c>
      <c r="C972" s="187" t="s">
        <v>905</v>
      </c>
      <c r="D972" s="355" t="s">
        <v>2139</v>
      </c>
      <c r="E972" s="361">
        <v>180</v>
      </c>
      <c r="F972" s="358" t="s">
        <v>20</v>
      </c>
      <c r="G972" s="353">
        <v>44284</v>
      </c>
      <c r="H972" s="360">
        <v>240</v>
      </c>
      <c r="I972" s="188">
        <v>412.22554505998289</v>
      </c>
      <c r="J972" s="188">
        <f t="shared" si="31"/>
        <v>98934.130814395889</v>
      </c>
      <c r="K972" s="232">
        <v>44284</v>
      </c>
      <c r="L972" s="138" t="s">
        <v>2354</v>
      </c>
      <c r="M972" s="384">
        <v>44125</v>
      </c>
      <c r="N972" s="363"/>
      <c r="O972" s="363"/>
    </row>
    <row r="973" spans="1:15" s="351" customFormat="1" ht="14.1" customHeight="1" x14ac:dyDescent="0.3">
      <c r="A973" s="185" t="s">
        <v>2372</v>
      </c>
      <c r="B973" s="262" t="s">
        <v>1295</v>
      </c>
      <c r="C973" s="187" t="s">
        <v>1497</v>
      </c>
      <c r="D973" s="355" t="s">
        <v>2629</v>
      </c>
      <c r="E973" s="361">
        <v>90</v>
      </c>
      <c r="F973" s="358" t="s">
        <v>20</v>
      </c>
      <c r="G973" s="353">
        <v>44284</v>
      </c>
      <c r="H973" s="360">
        <v>220</v>
      </c>
      <c r="I973" s="188">
        <v>598</v>
      </c>
      <c r="J973" s="188">
        <v>131560</v>
      </c>
      <c r="K973" s="232">
        <v>44285</v>
      </c>
      <c r="L973" s="138"/>
      <c r="M973" s="384">
        <v>44273</v>
      </c>
      <c r="N973" s="363"/>
      <c r="O973" s="363"/>
    </row>
    <row r="974" spans="1:15" s="351" customFormat="1" ht="14.1" customHeight="1" x14ac:dyDescent="0.3">
      <c r="A974" s="185" t="s">
        <v>2401</v>
      </c>
      <c r="B974" s="262" t="s">
        <v>502</v>
      </c>
      <c r="C974" s="187" t="s">
        <v>1497</v>
      </c>
      <c r="D974" s="355" t="s">
        <v>2630</v>
      </c>
      <c r="E974" s="361">
        <v>90</v>
      </c>
      <c r="F974" s="358" t="s">
        <v>20</v>
      </c>
      <c r="G974" s="353">
        <v>44284</v>
      </c>
      <c r="H974" s="360">
        <v>162</v>
      </c>
      <c r="I974" s="188">
        <v>519</v>
      </c>
      <c r="J974" s="188">
        <v>84078</v>
      </c>
      <c r="K974" s="232">
        <v>44285</v>
      </c>
      <c r="L974" s="138"/>
      <c r="M974" s="384">
        <v>44280</v>
      </c>
      <c r="N974" s="363"/>
      <c r="O974" s="363"/>
    </row>
    <row r="975" spans="1:15" s="351" customFormat="1" ht="14.1" customHeight="1" x14ac:dyDescent="0.3">
      <c r="A975" s="185" t="s">
        <v>2406</v>
      </c>
      <c r="B975" s="262" t="s">
        <v>1292</v>
      </c>
      <c r="C975" s="187" t="s">
        <v>280</v>
      </c>
      <c r="D975" s="355" t="s">
        <v>2519</v>
      </c>
      <c r="E975" s="361">
        <v>90</v>
      </c>
      <c r="F975" s="358" t="s">
        <v>20</v>
      </c>
      <c r="G975" s="353">
        <v>44284</v>
      </c>
      <c r="H975" s="360">
        <v>150</v>
      </c>
      <c r="I975" s="188">
        <v>109</v>
      </c>
      <c r="J975" s="188">
        <f>+I975*H975</f>
        <v>16350</v>
      </c>
      <c r="K975" s="232">
        <v>44285</v>
      </c>
      <c r="L975" s="138"/>
      <c r="M975" s="384">
        <v>44273</v>
      </c>
      <c r="N975" s="363"/>
      <c r="O975" s="363"/>
    </row>
    <row r="976" spans="1:15" s="351" customFormat="1" ht="14.1" customHeight="1" x14ac:dyDescent="0.25">
      <c r="A976" s="185" t="s">
        <v>514</v>
      </c>
      <c r="B976" s="262" t="s">
        <v>1292</v>
      </c>
      <c r="C976" s="187" t="s">
        <v>280</v>
      </c>
      <c r="D976" s="355"/>
      <c r="E976" s="361"/>
      <c r="F976" s="358"/>
      <c r="G976" s="353">
        <v>44284</v>
      </c>
      <c r="H976" s="360"/>
      <c r="I976" s="188"/>
      <c r="J976" s="188">
        <v>-490.5</v>
      </c>
      <c r="K976" s="232">
        <v>44285</v>
      </c>
      <c r="L976" s="138"/>
      <c r="M976" s="384">
        <v>44273</v>
      </c>
      <c r="N976" s="363"/>
      <c r="O976" s="363"/>
    </row>
    <row r="977" spans="1:15" s="351" customFormat="1" ht="14.1" customHeight="1" x14ac:dyDescent="0.3">
      <c r="A977" s="185" t="s">
        <v>2336</v>
      </c>
      <c r="B977" s="262" t="s">
        <v>1293</v>
      </c>
      <c r="C977" s="187" t="s">
        <v>1485</v>
      </c>
      <c r="D977" s="355" t="s">
        <v>2795</v>
      </c>
      <c r="E977" s="361">
        <v>90</v>
      </c>
      <c r="F977" s="358" t="s">
        <v>20</v>
      </c>
      <c r="G977" s="353">
        <v>44284</v>
      </c>
      <c r="H977" s="360">
        <v>250</v>
      </c>
      <c r="I977" s="188">
        <v>234</v>
      </c>
      <c r="J977" s="188">
        <f>+I977*H977</f>
        <v>58500</v>
      </c>
      <c r="K977" s="232">
        <v>44285</v>
      </c>
      <c r="L977" s="138"/>
      <c r="M977" s="384">
        <v>44280</v>
      </c>
      <c r="N977" s="363"/>
      <c r="O977" s="363"/>
    </row>
    <row r="978" spans="1:15" s="351" customFormat="1" ht="14.1" customHeight="1" x14ac:dyDescent="0.25">
      <c r="A978" s="185" t="s">
        <v>2691</v>
      </c>
      <c r="B978" s="262" t="s">
        <v>1313</v>
      </c>
      <c r="C978" s="187" t="s">
        <v>42</v>
      </c>
      <c r="D978" s="355" t="s">
        <v>2880</v>
      </c>
      <c r="E978" s="361" t="s">
        <v>5</v>
      </c>
      <c r="F978" s="358"/>
      <c r="G978" s="353">
        <v>44284</v>
      </c>
      <c r="H978" s="360">
        <v>307.92</v>
      </c>
      <c r="I978" s="188">
        <v>255</v>
      </c>
      <c r="J978" s="188">
        <f>+I978*H978</f>
        <v>78519.600000000006</v>
      </c>
      <c r="K978" s="232">
        <v>44285</v>
      </c>
      <c r="L978" s="138"/>
      <c r="M978" s="384">
        <v>44280</v>
      </c>
      <c r="N978" s="363"/>
      <c r="O978" s="363"/>
    </row>
    <row r="979" spans="1:15" s="351" customFormat="1" ht="14.1" customHeight="1" x14ac:dyDescent="0.25">
      <c r="A979" s="185" t="s">
        <v>2692</v>
      </c>
      <c r="B979" s="262" t="s">
        <v>1313</v>
      </c>
      <c r="C979" s="187" t="s">
        <v>42</v>
      </c>
      <c r="D979" s="355" t="s">
        <v>2881</v>
      </c>
      <c r="E979" s="361" t="s">
        <v>5</v>
      </c>
      <c r="F979" s="358"/>
      <c r="G979" s="353">
        <v>44284</v>
      </c>
      <c r="H979" s="360">
        <v>139.82</v>
      </c>
      <c r="I979" s="188">
        <v>255</v>
      </c>
      <c r="J979" s="188">
        <f>+I979*H979</f>
        <v>35654.1</v>
      </c>
      <c r="K979" s="232">
        <v>44285</v>
      </c>
      <c r="L979" s="138"/>
      <c r="M979" s="384">
        <v>44280</v>
      </c>
      <c r="N979" s="363"/>
      <c r="O979" s="363"/>
    </row>
    <row r="980" spans="1:15" s="351" customFormat="1" ht="14.1" customHeight="1" x14ac:dyDescent="0.3">
      <c r="A980" s="185" t="s">
        <v>1907</v>
      </c>
      <c r="B980" s="262" t="s">
        <v>1326</v>
      </c>
      <c r="C980" s="187" t="s">
        <v>905</v>
      </c>
      <c r="D980" s="355" t="s">
        <v>2140</v>
      </c>
      <c r="E980" s="361">
        <v>180</v>
      </c>
      <c r="F980" s="358" t="s">
        <v>20</v>
      </c>
      <c r="G980" s="353">
        <v>44291</v>
      </c>
      <c r="H980" s="360">
        <v>408</v>
      </c>
      <c r="I980" s="188">
        <v>417.3147493199827</v>
      </c>
      <c r="J980" s="188">
        <f>+I980*H980</f>
        <v>170264.41772255293</v>
      </c>
      <c r="K980" s="232">
        <v>44291</v>
      </c>
      <c r="L980" s="138" t="s">
        <v>2354</v>
      </c>
      <c r="M980" s="384">
        <v>44125</v>
      </c>
      <c r="N980" s="363"/>
      <c r="O980" s="363"/>
    </row>
    <row r="981" spans="1:15" s="351" customFormat="1" ht="14.1" customHeight="1" x14ac:dyDescent="0.3">
      <c r="A981" s="185" t="s">
        <v>2405</v>
      </c>
      <c r="B981" s="262" t="s">
        <v>1292</v>
      </c>
      <c r="C981" s="187" t="s">
        <v>280</v>
      </c>
      <c r="D981" s="355" t="s">
        <v>2642</v>
      </c>
      <c r="E981" s="361">
        <v>90</v>
      </c>
      <c r="F981" s="358" t="s">
        <v>20</v>
      </c>
      <c r="G981" s="353">
        <v>44288</v>
      </c>
      <c r="H981" s="360">
        <v>350.4</v>
      </c>
      <c r="I981" s="188">
        <v>99.5</v>
      </c>
      <c r="J981" s="188">
        <f>+I981*H981</f>
        <v>34864.799999999996</v>
      </c>
      <c r="K981" s="232">
        <v>44292</v>
      </c>
      <c r="L981" s="138"/>
      <c r="M981" s="384">
        <v>44291</v>
      </c>
      <c r="N981" s="363"/>
      <c r="O981" s="363"/>
    </row>
    <row r="982" spans="1:15" s="351" customFormat="1" ht="14.1" customHeight="1" x14ac:dyDescent="0.25">
      <c r="A982" s="185" t="s">
        <v>514</v>
      </c>
      <c r="B982" s="262" t="s">
        <v>1292</v>
      </c>
      <c r="C982" s="187" t="s">
        <v>280</v>
      </c>
      <c r="D982" s="355"/>
      <c r="E982" s="361"/>
      <c r="F982" s="358"/>
      <c r="G982" s="353">
        <v>44288</v>
      </c>
      <c r="H982" s="360"/>
      <c r="I982" s="188"/>
      <c r="J982" s="188">
        <v>-1045.94</v>
      </c>
      <c r="K982" s="232">
        <v>44292</v>
      </c>
      <c r="L982" s="138"/>
      <c r="M982" s="384">
        <v>44291</v>
      </c>
      <c r="N982" s="363"/>
      <c r="O982" s="363"/>
    </row>
    <row r="983" spans="1:15" s="351" customFormat="1" ht="14.1" customHeight="1" x14ac:dyDescent="0.3">
      <c r="A983" s="185" t="s">
        <v>2278</v>
      </c>
      <c r="B983" s="262" t="s">
        <v>1386</v>
      </c>
      <c r="C983" s="187" t="s">
        <v>1436</v>
      </c>
      <c r="D983" s="355" t="s">
        <v>552</v>
      </c>
      <c r="E983" s="361">
        <v>150</v>
      </c>
      <c r="F983" s="358" t="s">
        <v>1297</v>
      </c>
      <c r="G983" s="353">
        <v>44295</v>
      </c>
      <c r="H983" s="360">
        <v>3150</v>
      </c>
      <c r="I983" s="188">
        <v>290.83</v>
      </c>
      <c r="J983" s="188">
        <f t="shared" ref="J983:J989" si="32">+I983*H983</f>
        <v>916114.5</v>
      </c>
      <c r="K983" s="232">
        <v>44295</v>
      </c>
      <c r="L983" s="138" t="s">
        <v>2280</v>
      </c>
      <c r="M983" s="384">
        <v>44291</v>
      </c>
      <c r="N983" s="363"/>
      <c r="O983" s="363"/>
    </row>
    <row r="984" spans="1:15" s="351" customFormat="1" ht="14.1" customHeight="1" x14ac:dyDescent="0.3">
      <c r="A984" s="185" t="s">
        <v>2279</v>
      </c>
      <c r="B984" s="262" t="s">
        <v>1349</v>
      </c>
      <c r="C984" s="187" t="s">
        <v>1436</v>
      </c>
      <c r="D984" s="355" t="s">
        <v>552</v>
      </c>
      <c r="E984" s="361">
        <v>150</v>
      </c>
      <c r="F984" s="358" t="s">
        <v>1297</v>
      </c>
      <c r="G984" s="353">
        <v>44295</v>
      </c>
      <c r="H984" s="360">
        <v>7408</v>
      </c>
      <c r="I984" s="188">
        <v>288.8</v>
      </c>
      <c r="J984" s="188">
        <f t="shared" si="32"/>
        <v>2139430.4</v>
      </c>
      <c r="K984" s="232">
        <v>44295</v>
      </c>
      <c r="L984" s="138" t="s">
        <v>2280</v>
      </c>
      <c r="M984" s="384">
        <v>44291</v>
      </c>
      <c r="N984" s="363"/>
      <c r="O984" s="363"/>
    </row>
    <row r="985" spans="1:15" s="351" customFormat="1" ht="14.1" customHeight="1" x14ac:dyDescent="0.25">
      <c r="A985" s="185" t="s">
        <v>2721</v>
      </c>
      <c r="B985" s="262" t="s">
        <v>653</v>
      </c>
      <c r="C985" s="187" t="s">
        <v>1497</v>
      </c>
      <c r="D985" s="355" t="s">
        <v>2907</v>
      </c>
      <c r="E985" s="361" t="s">
        <v>5</v>
      </c>
      <c r="F985" s="358"/>
      <c r="G985" s="353">
        <v>44288</v>
      </c>
      <c r="H985" s="360">
        <v>576</v>
      </c>
      <c r="I985" s="188">
        <v>640</v>
      </c>
      <c r="J985" s="188">
        <f t="shared" si="32"/>
        <v>368640</v>
      </c>
      <c r="K985" s="232">
        <v>44299</v>
      </c>
      <c r="L985" s="138"/>
      <c r="M985" s="384"/>
      <c r="N985" s="363"/>
      <c r="O985" s="363"/>
    </row>
    <row r="986" spans="1:15" s="351" customFormat="1" ht="14.1" customHeight="1" x14ac:dyDescent="0.25">
      <c r="A986" s="185" t="s">
        <v>2722</v>
      </c>
      <c r="B986" s="262" t="s">
        <v>653</v>
      </c>
      <c r="C986" s="187" t="s">
        <v>1497</v>
      </c>
      <c r="D986" s="355" t="s">
        <v>2908</v>
      </c>
      <c r="E986" s="361" t="s">
        <v>5</v>
      </c>
      <c r="F986" s="358"/>
      <c r="G986" s="353">
        <v>44288</v>
      </c>
      <c r="H986" s="360">
        <v>456</v>
      </c>
      <c r="I986" s="188">
        <v>635</v>
      </c>
      <c r="J986" s="188">
        <f t="shared" si="32"/>
        <v>289560</v>
      </c>
      <c r="K986" s="232">
        <v>44299</v>
      </c>
      <c r="L986" s="138"/>
      <c r="M986" s="384"/>
      <c r="N986" s="363"/>
      <c r="O986" s="363"/>
    </row>
    <row r="987" spans="1:15" s="351" customFormat="1" ht="13.5" customHeight="1" x14ac:dyDescent="0.3">
      <c r="A987" s="185" t="s">
        <v>2039</v>
      </c>
      <c r="B987" s="352" t="s">
        <v>1595</v>
      </c>
      <c r="C987" s="187" t="s">
        <v>494</v>
      </c>
      <c r="D987" s="225" t="s">
        <v>552</v>
      </c>
      <c r="E987" s="190" t="s">
        <v>5</v>
      </c>
      <c r="F987" s="227"/>
      <c r="G987" s="233">
        <v>44153</v>
      </c>
      <c r="H987" s="252">
        <v>1500</v>
      </c>
      <c r="I987" s="188">
        <v>141</v>
      </c>
      <c r="J987" s="188">
        <f t="shared" si="32"/>
        <v>211500</v>
      </c>
      <c r="K987" s="232">
        <v>44305</v>
      </c>
      <c r="L987" s="192" t="s">
        <v>2940</v>
      </c>
      <c r="M987" s="385">
        <v>44151</v>
      </c>
      <c r="N987" s="385"/>
      <c r="O987" s="385"/>
    </row>
    <row r="988" spans="1:15" s="351" customFormat="1" ht="13.5" customHeight="1" x14ac:dyDescent="0.3">
      <c r="A988" s="185" t="s">
        <v>2040</v>
      </c>
      <c r="B988" s="352" t="s">
        <v>1387</v>
      </c>
      <c r="C988" s="187" t="s">
        <v>494</v>
      </c>
      <c r="D988" s="225" t="s">
        <v>552</v>
      </c>
      <c r="E988" s="190" t="s">
        <v>5</v>
      </c>
      <c r="F988" s="227"/>
      <c r="G988" s="233">
        <v>44153</v>
      </c>
      <c r="H988" s="252">
        <v>2500</v>
      </c>
      <c r="I988" s="188">
        <v>379</v>
      </c>
      <c r="J988" s="188">
        <f t="shared" si="32"/>
        <v>947500</v>
      </c>
      <c r="K988" s="232">
        <v>44305</v>
      </c>
      <c r="L988" s="192" t="s">
        <v>2940</v>
      </c>
      <c r="M988" s="385">
        <v>44151</v>
      </c>
      <c r="N988" s="385"/>
      <c r="O988" s="385"/>
    </row>
    <row r="989" spans="1:15" s="351" customFormat="1" ht="13.5" customHeight="1" x14ac:dyDescent="0.25">
      <c r="A989" s="185" t="s">
        <v>2041</v>
      </c>
      <c r="B989" s="352" t="s">
        <v>1386</v>
      </c>
      <c r="C989" s="187" t="s">
        <v>494</v>
      </c>
      <c r="D989" s="225" t="s">
        <v>552</v>
      </c>
      <c r="E989" s="190" t="s">
        <v>5</v>
      </c>
      <c r="F989" s="227"/>
      <c r="G989" s="233">
        <v>44153</v>
      </c>
      <c r="H989" s="252">
        <v>3000</v>
      </c>
      <c r="I989" s="188">
        <v>297</v>
      </c>
      <c r="J989" s="188">
        <f t="shared" si="32"/>
        <v>891000</v>
      </c>
      <c r="K989" s="232">
        <v>44305</v>
      </c>
      <c r="L989" s="192" t="s">
        <v>2940</v>
      </c>
      <c r="M989" s="385">
        <v>44151</v>
      </c>
      <c r="N989" s="385"/>
      <c r="O989" s="385"/>
    </row>
    <row r="990" spans="1:15" s="351" customFormat="1" ht="13.5" customHeight="1" x14ac:dyDescent="0.3">
      <c r="A990" s="185" t="s">
        <v>1908</v>
      </c>
      <c r="B990" s="352" t="s">
        <v>1326</v>
      </c>
      <c r="C990" s="187" t="s">
        <v>905</v>
      </c>
      <c r="D990" s="225" t="s">
        <v>2234</v>
      </c>
      <c r="E990" s="190">
        <v>180</v>
      </c>
      <c r="F990" s="227" t="s">
        <v>20</v>
      </c>
      <c r="G990" s="233">
        <v>44315</v>
      </c>
      <c r="H990" s="252">
        <v>192</v>
      </c>
      <c r="I990" s="188">
        <v>417.3147493199827</v>
      </c>
      <c r="J990" s="188">
        <v>80124.431869436681</v>
      </c>
      <c r="K990" s="232">
        <v>44305</v>
      </c>
      <c r="L990" s="192" t="s">
        <v>2354</v>
      </c>
      <c r="M990" s="387">
        <v>44125</v>
      </c>
      <c r="N990" s="387"/>
      <c r="O990" s="387"/>
    </row>
    <row r="991" spans="1:15" s="351" customFormat="1" ht="13.5" customHeight="1" x14ac:dyDescent="0.3">
      <c r="A991" s="185" t="s">
        <v>2335</v>
      </c>
      <c r="B991" s="352" t="s">
        <v>1326</v>
      </c>
      <c r="C991" s="187" t="s">
        <v>2076</v>
      </c>
      <c r="D991" s="225" t="s">
        <v>2884</v>
      </c>
      <c r="E991" s="190">
        <v>30</v>
      </c>
      <c r="F991" s="227" t="s">
        <v>20</v>
      </c>
      <c r="G991" s="233">
        <v>44300</v>
      </c>
      <c r="H991" s="252">
        <v>504</v>
      </c>
      <c r="I991" s="188">
        <v>427</v>
      </c>
      <c r="J991" s="188">
        <f t="shared" ref="J991:J998" si="33">+I991*H991</f>
        <v>215208</v>
      </c>
      <c r="K991" s="232">
        <v>44309</v>
      </c>
      <c r="L991" s="192"/>
      <c r="M991" s="386">
        <v>44291</v>
      </c>
      <c r="N991" s="386"/>
      <c r="O991" s="386"/>
    </row>
    <row r="992" spans="1:15" s="351" customFormat="1" ht="13.5" customHeight="1" x14ac:dyDescent="0.3">
      <c r="A992" s="185" t="s">
        <v>2467</v>
      </c>
      <c r="B992" s="352" t="s">
        <v>1440</v>
      </c>
      <c r="C992" s="187" t="s">
        <v>245</v>
      </c>
      <c r="D992" s="225" t="s">
        <v>2743</v>
      </c>
      <c r="E992" s="190">
        <v>90</v>
      </c>
      <c r="F992" s="227" t="s">
        <v>20</v>
      </c>
      <c r="G992" s="233">
        <v>44304</v>
      </c>
      <c r="H992" s="252">
        <v>96</v>
      </c>
      <c r="I992" s="188">
        <v>705</v>
      </c>
      <c r="J992" s="188">
        <f t="shared" si="33"/>
        <v>67680</v>
      </c>
      <c r="K992" s="232">
        <v>44309</v>
      </c>
      <c r="L992" s="192"/>
      <c r="M992" s="386">
        <v>44301</v>
      </c>
      <c r="N992" s="386"/>
      <c r="O992" s="386"/>
    </row>
    <row r="993" spans="1:15" s="351" customFormat="1" ht="13.5" customHeight="1" x14ac:dyDescent="0.3">
      <c r="A993" s="185" t="s">
        <v>2737</v>
      </c>
      <c r="B993" s="352" t="s">
        <v>1595</v>
      </c>
      <c r="C993" s="187" t="s">
        <v>494</v>
      </c>
      <c r="D993" s="225" t="s">
        <v>552</v>
      </c>
      <c r="E993" s="190" t="s">
        <v>5</v>
      </c>
      <c r="F993" s="227"/>
      <c r="G993" s="233">
        <v>44307</v>
      </c>
      <c r="H993" s="252">
        <v>4500</v>
      </c>
      <c r="I993" s="188">
        <v>159.5</v>
      </c>
      <c r="J993" s="188">
        <f t="shared" si="33"/>
        <v>717750</v>
      </c>
      <c r="K993" s="232">
        <v>44309</v>
      </c>
      <c r="L993" s="192"/>
      <c r="M993" s="386">
        <v>44306</v>
      </c>
      <c r="N993" s="386"/>
      <c r="O993" s="386"/>
    </row>
    <row r="994" spans="1:15" s="351" customFormat="1" ht="13.5" customHeight="1" x14ac:dyDescent="0.3">
      <c r="A994" s="185" t="s">
        <v>2736</v>
      </c>
      <c r="B994" s="352" t="s">
        <v>1387</v>
      </c>
      <c r="C994" s="187" t="s">
        <v>494</v>
      </c>
      <c r="D994" s="225" t="s">
        <v>552</v>
      </c>
      <c r="E994" s="190" t="s">
        <v>5</v>
      </c>
      <c r="F994" s="227"/>
      <c r="G994" s="233">
        <v>44307</v>
      </c>
      <c r="H994" s="252">
        <v>2700</v>
      </c>
      <c r="I994" s="188">
        <v>472</v>
      </c>
      <c r="J994" s="188">
        <f t="shared" si="33"/>
        <v>1274400</v>
      </c>
      <c r="K994" s="232">
        <v>44309</v>
      </c>
      <c r="L994" s="192"/>
      <c r="M994" s="386">
        <v>44306</v>
      </c>
      <c r="N994" s="386"/>
      <c r="O994" s="386"/>
    </row>
    <row r="995" spans="1:15" s="351" customFormat="1" ht="13.5" customHeight="1" x14ac:dyDescent="0.25">
      <c r="A995" s="185" t="s">
        <v>2733</v>
      </c>
      <c r="B995" s="352" t="s">
        <v>1386</v>
      </c>
      <c r="C995" s="187" t="s">
        <v>494</v>
      </c>
      <c r="D995" s="225" t="s">
        <v>552</v>
      </c>
      <c r="E995" s="190" t="s">
        <v>5</v>
      </c>
      <c r="F995" s="227"/>
      <c r="G995" s="233">
        <v>44307</v>
      </c>
      <c r="H995" s="252">
        <v>2700</v>
      </c>
      <c r="I995" s="188">
        <v>399</v>
      </c>
      <c r="J995" s="188">
        <f t="shared" si="33"/>
        <v>1077300</v>
      </c>
      <c r="K995" s="232">
        <v>44309</v>
      </c>
      <c r="L995" s="192"/>
      <c r="M995" s="386">
        <v>44306</v>
      </c>
      <c r="N995" s="386"/>
      <c r="O995" s="386"/>
    </row>
    <row r="996" spans="1:15" s="351" customFormat="1" ht="13.5" customHeight="1" x14ac:dyDescent="0.25">
      <c r="A996" s="185" t="s">
        <v>2731</v>
      </c>
      <c r="B996" s="352" t="s">
        <v>1386</v>
      </c>
      <c r="C996" s="187" t="s">
        <v>494</v>
      </c>
      <c r="D996" s="225" t="s">
        <v>552</v>
      </c>
      <c r="E996" s="190" t="s">
        <v>5</v>
      </c>
      <c r="F996" s="227"/>
      <c r="G996" s="233">
        <v>44307</v>
      </c>
      <c r="H996" s="252">
        <v>2700</v>
      </c>
      <c r="I996" s="188">
        <v>399</v>
      </c>
      <c r="J996" s="188">
        <f t="shared" si="33"/>
        <v>1077300</v>
      </c>
      <c r="K996" s="232">
        <v>44309</v>
      </c>
      <c r="L996" s="192"/>
      <c r="M996" s="386">
        <v>44306</v>
      </c>
      <c r="N996" s="386"/>
      <c r="O996" s="386"/>
    </row>
    <row r="997" spans="1:15" s="351" customFormat="1" ht="13.5" customHeight="1" x14ac:dyDescent="0.3">
      <c r="A997" s="185" t="s">
        <v>2730</v>
      </c>
      <c r="B997" s="352" t="s">
        <v>1595</v>
      </c>
      <c r="C997" s="187" t="s">
        <v>494</v>
      </c>
      <c r="D997" s="225" t="s">
        <v>552</v>
      </c>
      <c r="E997" s="190" t="s">
        <v>5</v>
      </c>
      <c r="F997" s="227"/>
      <c r="G997" s="233">
        <v>44307</v>
      </c>
      <c r="H997" s="252">
        <v>2700</v>
      </c>
      <c r="I997" s="188">
        <v>174</v>
      </c>
      <c r="J997" s="188">
        <f t="shared" si="33"/>
        <v>469800</v>
      </c>
      <c r="K997" s="232">
        <v>44309</v>
      </c>
      <c r="L997" s="192"/>
      <c r="M997" s="386">
        <v>44306</v>
      </c>
      <c r="N997" s="386"/>
      <c r="O997" s="386"/>
    </row>
    <row r="998" spans="1:15" s="351" customFormat="1" ht="13.5" customHeight="1" x14ac:dyDescent="0.25">
      <c r="A998" s="185" t="s">
        <v>2910</v>
      </c>
      <c r="B998" s="352" t="s">
        <v>1439</v>
      </c>
      <c r="C998" s="187" t="s">
        <v>494</v>
      </c>
      <c r="D998" s="225" t="s">
        <v>552</v>
      </c>
      <c r="E998" s="190" t="s">
        <v>5</v>
      </c>
      <c r="F998" s="227"/>
      <c r="G998" s="233">
        <v>44307</v>
      </c>
      <c r="H998" s="252">
        <v>1650</v>
      </c>
      <c r="I998" s="188">
        <v>219</v>
      </c>
      <c r="J998" s="188">
        <f t="shared" si="33"/>
        <v>361350</v>
      </c>
      <c r="K998" s="232">
        <v>44309</v>
      </c>
      <c r="L998" s="192"/>
      <c r="M998" s="386">
        <v>44306</v>
      </c>
      <c r="N998" s="386"/>
      <c r="O998" s="386"/>
    </row>
    <row r="999" spans="1:15" s="351" customFormat="1" ht="13.5" customHeight="1" x14ac:dyDescent="0.25">
      <c r="A999" s="185" t="s">
        <v>2734</v>
      </c>
      <c r="B999" s="352" t="s">
        <v>1388</v>
      </c>
      <c r="C999" s="187" t="s">
        <v>512</v>
      </c>
      <c r="D999" s="225" t="s">
        <v>552</v>
      </c>
      <c r="E999" s="190" t="s">
        <v>5</v>
      </c>
      <c r="F999" s="227"/>
      <c r="G999" s="233">
        <v>44314</v>
      </c>
      <c r="H999" s="252">
        <v>5850</v>
      </c>
      <c r="I999" s="188">
        <v>270</v>
      </c>
      <c r="J999" s="188">
        <v>1306000</v>
      </c>
      <c r="K999" s="232">
        <v>44312</v>
      </c>
      <c r="L999" s="192" t="s">
        <v>2969</v>
      </c>
      <c r="M999" s="386">
        <v>44313</v>
      </c>
      <c r="N999" s="386"/>
      <c r="O999" s="386"/>
    </row>
    <row r="1000" spans="1:15" s="351" customFormat="1" ht="13.5" customHeight="1" x14ac:dyDescent="0.25">
      <c r="A1000" s="185" t="s">
        <v>2734</v>
      </c>
      <c r="B1000" s="352" t="s">
        <v>1388</v>
      </c>
      <c r="C1000" s="187" t="s">
        <v>512</v>
      </c>
      <c r="D1000" s="225" t="s">
        <v>552</v>
      </c>
      <c r="E1000" s="190" t="s">
        <v>5</v>
      </c>
      <c r="F1000" s="227"/>
      <c r="G1000" s="233">
        <v>44314</v>
      </c>
      <c r="H1000" s="252">
        <v>5850</v>
      </c>
      <c r="I1000" s="188">
        <v>270</v>
      </c>
      <c r="J1000" s="188">
        <f>+I1000*H1000-J999</f>
        <v>273500</v>
      </c>
      <c r="K1000" s="232">
        <v>44313</v>
      </c>
      <c r="L1000" s="192" t="s">
        <v>2970</v>
      </c>
      <c r="M1000" s="386">
        <v>44313</v>
      </c>
      <c r="N1000" s="386"/>
      <c r="O1000" s="386"/>
    </row>
    <row r="1001" spans="1:15" s="351" customFormat="1" ht="13.5" customHeight="1" x14ac:dyDescent="0.25">
      <c r="A1001" s="185" t="s">
        <v>2358</v>
      </c>
      <c r="B1001" s="352" t="s">
        <v>1601</v>
      </c>
      <c r="C1001" s="187" t="s">
        <v>42</v>
      </c>
      <c r="D1001" s="225" t="s">
        <v>2947</v>
      </c>
      <c r="E1001" s="190" t="s">
        <v>5</v>
      </c>
      <c r="F1001" s="227"/>
      <c r="G1001" s="233">
        <v>44304</v>
      </c>
      <c r="H1001" s="252">
        <v>108.16</v>
      </c>
      <c r="I1001" s="188">
        <v>220</v>
      </c>
      <c r="J1001" s="188">
        <v>23795.200000000001</v>
      </c>
      <c r="K1001" s="232">
        <v>44316</v>
      </c>
      <c r="L1001" s="192"/>
      <c r="M1001" s="387">
        <v>44309</v>
      </c>
      <c r="N1001" s="387"/>
      <c r="O1001" s="387"/>
    </row>
    <row r="1002" spans="1:15" s="351" customFormat="1" ht="13.5" customHeight="1" x14ac:dyDescent="0.25">
      <c r="A1002" s="185" t="s">
        <v>2693</v>
      </c>
      <c r="B1002" s="352" t="s">
        <v>1313</v>
      </c>
      <c r="C1002" s="187" t="s">
        <v>42</v>
      </c>
      <c r="D1002" s="225" t="s">
        <v>2948</v>
      </c>
      <c r="E1002" s="190" t="s">
        <v>5</v>
      </c>
      <c r="F1002" s="227"/>
      <c r="G1002" s="233">
        <v>44304</v>
      </c>
      <c r="H1002" s="252">
        <v>155.12</v>
      </c>
      <c r="I1002" s="188">
        <v>255</v>
      </c>
      <c r="J1002" s="188">
        <v>39555.599999999999</v>
      </c>
      <c r="K1002" s="232">
        <v>44316</v>
      </c>
      <c r="L1002" s="192"/>
      <c r="M1002" s="387">
        <v>44309</v>
      </c>
      <c r="N1002" s="387"/>
      <c r="O1002" s="387"/>
    </row>
    <row r="1003" spans="1:15" s="351" customFormat="1" ht="13.5" customHeight="1" x14ac:dyDescent="0.25">
      <c r="A1003" s="185" t="s">
        <v>2912</v>
      </c>
      <c r="B1003" s="352" t="s">
        <v>1601</v>
      </c>
      <c r="C1003" s="187" t="s">
        <v>42</v>
      </c>
      <c r="D1003" s="225" t="s">
        <v>2949</v>
      </c>
      <c r="E1003" s="190" t="s">
        <v>5</v>
      </c>
      <c r="F1003" s="227"/>
      <c r="G1003" s="233">
        <v>44313</v>
      </c>
      <c r="H1003" s="252">
        <v>200.48</v>
      </c>
      <c r="I1003" s="188">
        <v>265</v>
      </c>
      <c r="J1003" s="188">
        <v>53127.199999999997</v>
      </c>
      <c r="K1003" s="232">
        <v>44316</v>
      </c>
      <c r="L1003" s="192"/>
      <c r="M1003" s="387">
        <v>44309</v>
      </c>
      <c r="N1003" s="387"/>
      <c r="O1003" s="387"/>
    </row>
    <row r="1004" spans="1:15" s="351" customFormat="1" ht="13.5" customHeight="1" x14ac:dyDescent="0.3">
      <c r="A1004" s="185" t="s">
        <v>2913</v>
      </c>
      <c r="B1004" s="352" t="s">
        <v>1782</v>
      </c>
      <c r="C1004" s="187" t="s">
        <v>331</v>
      </c>
      <c r="D1004" s="225" t="s">
        <v>2997</v>
      </c>
      <c r="E1004" s="190" t="s">
        <v>5</v>
      </c>
      <c r="F1004" s="227"/>
      <c r="G1004" s="233">
        <v>44317</v>
      </c>
      <c r="H1004" s="252">
        <v>110</v>
      </c>
      <c r="I1004" s="188">
        <v>591</v>
      </c>
      <c r="J1004" s="188">
        <v>65010</v>
      </c>
      <c r="K1004" s="232">
        <v>44322</v>
      </c>
      <c r="L1004" s="192"/>
      <c r="M1004" s="387">
        <v>44320</v>
      </c>
      <c r="N1004" s="387"/>
      <c r="O1004" s="387"/>
    </row>
    <row r="1005" spans="1:15" s="351" customFormat="1" ht="13.5" customHeight="1" x14ac:dyDescent="0.3">
      <c r="A1005" s="185" t="s">
        <v>2914</v>
      </c>
      <c r="B1005" s="352" t="s">
        <v>1782</v>
      </c>
      <c r="C1005" s="187" t="s">
        <v>331</v>
      </c>
      <c r="D1005" s="225" t="s">
        <v>2998</v>
      </c>
      <c r="E1005" s="190" t="s">
        <v>5</v>
      </c>
      <c r="F1005" s="227"/>
      <c r="G1005" s="233">
        <v>44320</v>
      </c>
      <c r="H1005" s="252">
        <v>396</v>
      </c>
      <c r="I1005" s="188">
        <v>591</v>
      </c>
      <c r="J1005" s="188">
        <v>234036</v>
      </c>
      <c r="K1005" s="232">
        <v>44322</v>
      </c>
      <c r="L1005" s="192"/>
      <c r="M1005" s="387">
        <v>44320</v>
      </c>
      <c r="N1005" s="387"/>
      <c r="O1005" s="387"/>
    </row>
    <row r="1006" spans="1:15" s="351" customFormat="1" ht="13.5" customHeight="1" x14ac:dyDescent="0.3">
      <c r="A1006" s="185" t="s">
        <v>2510</v>
      </c>
      <c r="B1006" s="352" t="s">
        <v>2511</v>
      </c>
      <c r="C1006" s="187" t="s">
        <v>1497</v>
      </c>
      <c r="D1006" s="225" t="s">
        <v>2797</v>
      </c>
      <c r="E1006" s="190">
        <v>90</v>
      </c>
      <c r="F1006" s="227" t="s">
        <v>20</v>
      </c>
      <c r="G1006" s="233">
        <v>44321</v>
      </c>
      <c r="H1006" s="252">
        <v>32.25</v>
      </c>
      <c r="I1006" s="188">
        <v>710</v>
      </c>
      <c r="J1006" s="188">
        <v>22897.5</v>
      </c>
      <c r="K1006" s="232">
        <v>44323</v>
      </c>
      <c r="L1006" s="192"/>
      <c r="M1006" s="387">
        <v>44320</v>
      </c>
      <c r="N1006" s="387"/>
      <c r="O1006" s="387"/>
    </row>
    <row r="1007" spans="1:15" s="351" customFormat="1" ht="13.5" customHeight="1" x14ac:dyDescent="0.3">
      <c r="A1007" s="185" t="s">
        <v>2466</v>
      </c>
      <c r="B1007" s="352" t="s">
        <v>2470</v>
      </c>
      <c r="C1007" s="187" t="s">
        <v>1496</v>
      </c>
      <c r="D1007" s="225" t="s">
        <v>2742</v>
      </c>
      <c r="E1007" s="190">
        <v>90</v>
      </c>
      <c r="F1007" s="227" t="s">
        <v>20</v>
      </c>
      <c r="G1007" s="233">
        <v>44322</v>
      </c>
      <c r="H1007" s="252">
        <v>120</v>
      </c>
      <c r="I1007" s="188">
        <v>680</v>
      </c>
      <c r="J1007" s="188">
        <v>81600</v>
      </c>
      <c r="K1007" s="232">
        <v>44323</v>
      </c>
      <c r="L1007" s="192"/>
      <c r="M1007" s="387">
        <v>44320</v>
      </c>
      <c r="N1007" s="387"/>
      <c r="O1007" s="387"/>
    </row>
    <row r="1008" spans="1:15" s="351" customFormat="1" ht="13.5" customHeight="1" x14ac:dyDescent="0.3">
      <c r="A1008" s="185" t="s">
        <v>2506</v>
      </c>
      <c r="B1008" s="352" t="s">
        <v>1326</v>
      </c>
      <c r="C1008" s="187" t="s">
        <v>2076</v>
      </c>
      <c r="D1008" s="225" t="s">
        <v>2981</v>
      </c>
      <c r="E1008" s="190">
        <v>30</v>
      </c>
      <c r="F1008" s="227" t="s">
        <v>20</v>
      </c>
      <c r="G1008" s="233">
        <v>44324</v>
      </c>
      <c r="H1008" s="252">
        <v>408</v>
      </c>
      <c r="I1008" s="188">
        <v>430</v>
      </c>
      <c r="J1008" s="188">
        <f>+I1008*H1008</f>
        <v>175440</v>
      </c>
      <c r="K1008" s="232">
        <v>44323</v>
      </c>
      <c r="L1008" s="192"/>
      <c r="M1008" s="387">
        <v>44320</v>
      </c>
      <c r="N1008" s="387"/>
      <c r="O1008" s="387"/>
    </row>
    <row r="1009" spans="1:15" s="351" customFormat="1" ht="13.5" customHeight="1" x14ac:dyDescent="0.3">
      <c r="A1009" s="185" t="s">
        <v>2632</v>
      </c>
      <c r="B1009" s="352" t="s">
        <v>2634</v>
      </c>
      <c r="C1009" s="187" t="s">
        <v>1532</v>
      </c>
      <c r="D1009" s="225" t="s">
        <v>2870</v>
      </c>
      <c r="E1009" s="190">
        <v>90</v>
      </c>
      <c r="F1009" s="227" t="s">
        <v>20</v>
      </c>
      <c r="G1009" s="233">
        <v>44336</v>
      </c>
      <c r="H1009" s="252">
        <v>9</v>
      </c>
      <c r="I1009" s="188">
        <v>4680</v>
      </c>
      <c r="J1009" s="188">
        <f>+I1009*H1009</f>
        <v>42120</v>
      </c>
      <c r="K1009" s="232">
        <v>44337</v>
      </c>
      <c r="L1009" s="192"/>
      <c r="M1009" s="412">
        <v>44336</v>
      </c>
      <c r="N1009" s="412"/>
      <c r="O1009" s="412"/>
    </row>
    <row r="1010" spans="1:15" s="351" customFormat="1" ht="13.5" customHeight="1" x14ac:dyDescent="0.3">
      <c r="A1010" s="185" t="s">
        <v>2373</v>
      </c>
      <c r="B1010" s="352" t="s">
        <v>502</v>
      </c>
      <c r="C1010" s="187" t="s">
        <v>1294</v>
      </c>
      <c r="D1010" s="225" t="s">
        <v>2643</v>
      </c>
      <c r="E1010" s="190">
        <v>150</v>
      </c>
      <c r="F1010" s="227" t="s">
        <v>20</v>
      </c>
      <c r="G1010" s="233">
        <v>44337</v>
      </c>
      <c r="H1010" s="252">
        <v>200</v>
      </c>
      <c r="I1010" s="188">
        <v>509</v>
      </c>
      <c r="J1010" s="188">
        <f t="shared" ref="J1010:J1020" si="34">+I1010*H1010</f>
        <v>101800</v>
      </c>
      <c r="K1010" s="232">
        <v>44340</v>
      </c>
      <c r="L1010" s="192"/>
      <c r="M1010" s="412">
        <v>44336</v>
      </c>
      <c r="N1010" s="412"/>
      <c r="O1010" s="412"/>
    </row>
    <row r="1011" spans="1:15" s="351" customFormat="1" ht="13.5" customHeight="1" x14ac:dyDescent="0.3">
      <c r="A1011" s="185" t="s">
        <v>2566</v>
      </c>
      <c r="B1011" s="352" t="s">
        <v>1326</v>
      </c>
      <c r="C1011" s="187" t="s">
        <v>2076</v>
      </c>
      <c r="D1011" s="225" t="s">
        <v>3081</v>
      </c>
      <c r="E1011" s="190">
        <v>30</v>
      </c>
      <c r="F1011" s="227" t="s">
        <v>20</v>
      </c>
      <c r="G1011" s="233">
        <v>44341</v>
      </c>
      <c r="H1011" s="252">
        <v>288</v>
      </c>
      <c r="I1011" s="188">
        <v>440</v>
      </c>
      <c r="J1011" s="188">
        <f>+I1011*H1011</f>
        <v>126720</v>
      </c>
      <c r="K1011" s="232">
        <v>44341</v>
      </c>
      <c r="L1011" s="192"/>
      <c r="M1011" s="412">
        <v>44336</v>
      </c>
      <c r="N1011" s="412"/>
      <c r="O1011" s="412"/>
    </row>
    <row r="1012" spans="1:15" s="351" customFormat="1" ht="13.5" customHeight="1" x14ac:dyDescent="0.3">
      <c r="A1012" s="185" t="s">
        <v>2677</v>
      </c>
      <c r="B1012" s="352" t="s">
        <v>1325</v>
      </c>
      <c r="C1012" s="187" t="s">
        <v>928</v>
      </c>
      <c r="D1012" s="225" t="s">
        <v>2871</v>
      </c>
      <c r="E1012" s="190">
        <v>90</v>
      </c>
      <c r="F1012" s="227" t="s">
        <v>20</v>
      </c>
      <c r="G1012" s="233">
        <v>44342</v>
      </c>
      <c r="H1012" s="252">
        <v>672</v>
      </c>
      <c r="I1012" s="188">
        <v>944.24</v>
      </c>
      <c r="J1012" s="188">
        <f>+I1012*H1012</f>
        <v>634529.28000000003</v>
      </c>
      <c r="K1012" s="232">
        <v>44341</v>
      </c>
      <c r="L1012" s="192"/>
      <c r="M1012" s="412">
        <v>44336</v>
      </c>
      <c r="N1012" s="412"/>
      <c r="O1012" s="412"/>
    </row>
    <row r="1013" spans="1:15" s="351" customFormat="1" ht="13.5" customHeight="1" x14ac:dyDescent="0.3">
      <c r="A1013" s="185" t="s">
        <v>2679</v>
      </c>
      <c r="B1013" s="352" t="s">
        <v>1325</v>
      </c>
      <c r="C1013" s="187" t="s">
        <v>928</v>
      </c>
      <c r="D1013" s="225" t="s">
        <v>2798</v>
      </c>
      <c r="E1013" s="190">
        <v>90</v>
      </c>
      <c r="F1013" s="227" t="s">
        <v>20</v>
      </c>
      <c r="G1013" s="233">
        <v>44342</v>
      </c>
      <c r="H1013" s="252">
        <v>216</v>
      </c>
      <c r="I1013" s="188">
        <v>920.83</v>
      </c>
      <c r="J1013" s="188">
        <f>+I1013*H1013</f>
        <v>198899.28</v>
      </c>
      <c r="K1013" s="232">
        <v>44341</v>
      </c>
      <c r="L1013" s="192"/>
      <c r="M1013" s="412">
        <v>44336</v>
      </c>
      <c r="N1013" s="412"/>
      <c r="O1013" s="412"/>
    </row>
    <row r="1014" spans="1:15" s="351" customFormat="1" ht="13.5" customHeight="1" x14ac:dyDescent="0.3">
      <c r="A1014" s="185" t="s">
        <v>2723</v>
      </c>
      <c r="B1014" s="352" t="s">
        <v>1386</v>
      </c>
      <c r="C1014" s="187" t="s">
        <v>928</v>
      </c>
      <c r="D1014" s="225" t="s">
        <v>3005</v>
      </c>
      <c r="E1014" s="190">
        <v>120</v>
      </c>
      <c r="F1014" s="227" t="s">
        <v>20</v>
      </c>
      <c r="G1014" s="233">
        <v>44344</v>
      </c>
      <c r="H1014" s="252">
        <v>880</v>
      </c>
      <c r="I1014" s="188">
        <v>403.41436958999611</v>
      </c>
      <c r="J1014" s="188">
        <v>354992</v>
      </c>
      <c r="K1014" s="232">
        <v>44344</v>
      </c>
      <c r="L1014" s="192" t="s">
        <v>2824</v>
      </c>
      <c r="M1014" s="412">
        <v>44329</v>
      </c>
      <c r="N1014" s="412"/>
      <c r="O1014" s="412"/>
    </row>
    <row r="1015" spans="1:15" s="351" customFormat="1" ht="13.5" customHeight="1" x14ac:dyDescent="0.3">
      <c r="A1015" s="185" t="s">
        <v>2468</v>
      </c>
      <c r="B1015" s="352" t="s">
        <v>1409</v>
      </c>
      <c r="C1015" s="187" t="s">
        <v>1433</v>
      </c>
      <c r="D1015" s="225" t="s">
        <v>552</v>
      </c>
      <c r="E1015" s="190">
        <v>150</v>
      </c>
      <c r="F1015" s="227" t="s">
        <v>20</v>
      </c>
      <c r="G1015" s="233">
        <v>44345</v>
      </c>
      <c r="H1015" s="252">
        <v>5500</v>
      </c>
      <c r="I1015" s="188">
        <v>253</v>
      </c>
      <c r="J1015" s="188">
        <f t="shared" si="34"/>
        <v>1391500</v>
      </c>
      <c r="K1015" s="232">
        <v>44348</v>
      </c>
      <c r="L1015" s="192" t="s">
        <v>1534</v>
      </c>
      <c r="M1015" s="412">
        <v>44336</v>
      </c>
      <c r="N1015" s="412"/>
      <c r="O1015" s="412"/>
    </row>
    <row r="1016" spans="1:15" s="351" customFormat="1" ht="13.5" customHeight="1" x14ac:dyDescent="0.3">
      <c r="A1016" s="185" t="s">
        <v>2469</v>
      </c>
      <c r="B1016" s="352" t="s">
        <v>1349</v>
      </c>
      <c r="C1016" s="187" t="s">
        <v>1433</v>
      </c>
      <c r="D1016" s="225" t="s">
        <v>552</v>
      </c>
      <c r="E1016" s="190">
        <v>150</v>
      </c>
      <c r="F1016" s="227" t="s">
        <v>20</v>
      </c>
      <c r="G1016" s="233">
        <v>44345</v>
      </c>
      <c r="H1016" s="252">
        <v>1100</v>
      </c>
      <c r="I1016" s="188">
        <v>294.64999999999998</v>
      </c>
      <c r="J1016" s="188">
        <f t="shared" si="34"/>
        <v>324115</v>
      </c>
      <c r="K1016" s="232">
        <v>44348</v>
      </c>
      <c r="L1016" s="192" t="s">
        <v>1534</v>
      </c>
      <c r="M1016" s="412">
        <v>44336</v>
      </c>
      <c r="N1016" s="412"/>
      <c r="O1016" s="412"/>
    </row>
    <row r="1017" spans="1:15" s="351" customFormat="1" ht="13.5" customHeight="1" x14ac:dyDescent="0.3">
      <c r="A1017" s="185" t="s">
        <v>2503</v>
      </c>
      <c r="B1017" s="352" t="s">
        <v>1600</v>
      </c>
      <c r="C1017" s="187" t="s">
        <v>2374</v>
      </c>
      <c r="D1017" s="225" t="s">
        <v>2796</v>
      </c>
      <c r="E1017" s="190">
        <v>120</v>
      </c>
      <c r="F1017" s="227" t="s">
        <v>20</v>
      </c>
      <c r="G1017" s="233">
        <v>44348</v>
      </c>
      <c r="H1017" s="252">
        <v>196.03800000000001</v>
      </c>
      <c r="I1017" s="188">
        <v>450</v>
      </c>
      <c r="J1017" s="188">
        <f t="shared" si="34"/>
        <v>88217.1</v>
      </c>
      <c r="K1017" s="232">
        <v>44351</v>
      </c>
      <c r="L1017" s="192"/>
      <c r="M1017" s="413">
        <v>44320</v>
      </c>
      <c r="N1017" s="413"/>
      <c r="O1017" s="413"/>
    </row>
    <row r="1018" spans="1:15" s="351" customFormat="1" ht="13.5" customHeight="1" x14ac:dyDescent="0.25">
      <c r="A1018" s="185" t="s">
        <v>514</v>
      </c>
      <c r="B1018" s="352" t="s">
        <v>1600</v>
      </c>
      <c r="C1018" s="187" t="s">
        <v>2374</v>
      </c>
      <c r="D1018" s="225"/>
      <c r="E1018" s="190"/>
      <c r="F1018" s="227"/>
      <c r="G1018" s="233">
        <v>44348</v>
      </c>
      <c r="H1018" s="252">
        <v>196.03800000000001</v>
      </c>
      <c r="I1018" s="188">
        <v>-20</v>
      </c>
      <c r="J1018" s="188">
        <f t="shared" si="34"/>
        <v>-3920.76</v>
      </c>
      <c r="K1018" s="232">
        <v>44351</v>
      </c>
      <c r="L1018" s="192"/>
      <c r="M1018" s="413"/>
      <c r="N1018" s="413"/>
      <c r="O1018" s="413"/>
    </row>
    <row r="1019" spans="1:15" s="351" customFormat="1" ht="13.5" customHeight="1" x14ac:dyDescent="0.25">
      <c r="A1019" s="185" t="s">
        <v>3173</v>
      </c>
      <c r="B1019" s="352" t="s">
        <v>1386</v>
      </c>
      <c r="C1019" s="187" t="s">
        <v>27</v>
      </c>
      <c r="D1019" s="225" t="s">
        <v>552</v>
      </c>
      <c r="E1019" s="190" t="s">
        <v>5</v>
      </c>
      <c r="F1019" s="227"/>
      <c r="G1019" s="233">
        <v>44356</v>
      </c>
      <c r="H1019" s="252">
        <v>11995</v>
      </c>
      <c r="I1019" s="188">
        <v>436.5</v>
      </c>
      <c r="J1019" s="188">
        <f>+I1019*H1019</f>
        <v>5235817.5</v>
      </c>
      <c r="K1019" s="232">
        <v>44351</v>
      </c>
      <c r="L1019" s="192"/>
      <c r="M1019" s="414"/>
      <c r="N1019" s="414"/>
      <c r="O1019" s="414"/>
    </row>
    <row r="1020" spans="1:15" s="351" customFormat="1" ht="13.5" customHeight="1" x14ac:dyDescent="0.3">
      <c r="A1020" s="185" t="s">
        <v>2713</v>
      </c>
      <c r="B1020" s="352" t="s">
        <v>1325</v>
      </c>
      <c r="C1020" s="187" t="s">
        <v>928</v>
      </c>
      <c r="D1020" s="225" t="s">
        <v>2887</v>
      </c>
      <c r="E1020" s="190">
        <v>90</v>
      </c>
      <c r="F1020" s="227" t="s">
        <v>20</v>
      </c>
      <c r="G1020" s="233">
        <v>44350</v>
      </c>
      <c r="H1020" s="252">
        <v>168</v>
      </c>
      <c r="I1020" s="188">
        <v>1002</v>
      </c>
      <c r="J1020" s="188">
        <f t="shared" si="34"/>
        <v>168336</v>
      </c>
      <c r="K1020" s="232">
        <v>44354</v>
      </c>
      <c r="L1020" s="192"/>
      <c r="M1020" s="414">
        <v>44350</v>
      </c>
      <c r="N1020" s="414"/>
      <c r="O1020" s="414"/>
    </row>
    <row r="1021" spans="1:15" s="351" customFormat="1" ht="13.5" customHeight="1" x14ac:dyDescent="0.3">
      <c r="A1021" s="185" t="s">
        <v>2973</v>
      </c>
      <c r="B1021" s="352" t="s">
        <v>1785</v>
      </c>
      <c r="C1021" s="187" t="s">
        <v>331</v>
      </c>
      <c r="D1021" s="225" t="s">
        <v>3141</v>
      </c>
      <c r="E1021" s="190" t="s">
        <v>5</v>
      </c>
      <c r="F1021" s="227"/>
      <c r="G1021" s="233">
        <v>44355</v>
      </c>
      <c r="H1021" s="252">
        <v>107.35</v>
      </c>
      <c r="I1021" s="188">
        <v>293.37</v>
      </c>
      <c r="J1021" s="188">
        <v>31683.96</v>
      </c>
      <c r="K1021" s="232">
        <v>44355</v>
      </c>
      <c r="L1021" s="192"/>
      <c r="M1021" s="415">
        <v>44350</v>
      </c>
      <c r="N1021" s="415"/>
      <c r="O1021" s="415"/>
    </row>
    <row r="1022" spans="1:15" s="351" customFormat="1" ht="13.5" customHeight="1" x14ac:dyDescent="0.3">
      <c r="A1022" s="185" t="s">
        <v>2974</v>
      </c>
      <c r="B1022" s="352" t="s">
        <v>1785</v>
      </c>
      <c r="C1022" s="187" t="s">
        <v>331</v>
      </c>
      <c r="D1022" s="225" t="s">
        <v>3142</v>
      </c>
      <c r="E1022" s="190" t="s">
        <v>5</v>
      </c>
      <c r="F1022" s="227"/>
      <c r="G1022" s="233">
        <v>44355</v>
      </c>
      <c r="H1022" s="252">
        <v>107.25</v>
      </c>
      <c r="I1022" s="188">
        <v>292.11</v>
      </c>
      <c r="J1022" s="188">
        <v>31547.88</v>
      </c>
      <c r="K1022" s="232">
        <v>44355</v>
      </c>
      <c r="L1022" s="192"/>
      <c r="M1022" s="415">
        <v>44350</v>
      </c>
      <c r="N1022" s="415"/>
      <c r="O1022" s="415"/>
    </row>
    <row r="1023" spans="1:15" s="351" customFormat="1" ht="13.5" customHeight="1" x14ac:dyDescent="0.3">
      <c r="A1023" s="185" t="s">
        <v>2829</v>
      </c>
      <c r="B1023" s="352" t="s">
        <v>2831</v>
      </c>
      <c r="C1023" s="187" t="s">
        <v>331</v>
      </c>
      <c r="D1023" s="225" t="s">
        <v>3144</v>
      </c>
      <c r="E1023" s="190" t="s">
        <v>5</v>
      </c>
      <c r="F1023" s="227"/>
      <c r="G1023" s="233">
        <v>44355</v>
      </c>
      <c r="H1023" s="252">
        <v>16450</v>
      </c>
      <c r="I1023" s="188">
        <v>0.3</v>
      </c>
      <c r="J1023" s="188">
        <v>4935</v>
      </c>
      <c r="K1023" s="232">
        <v>44355</v>
      </c>
      <c r="L1023" s="192"/>
      <c r="M1023" s="415">
        <v>44350</v>
      </c>
      <c r="N1023" s="415"/>
      <c r="O1023" s="415"/>
    </row>
    <row r="1024" spans="1:15" s="351" customFormat="1" ht="13.5" customHeight="1" x14ac:dyDescent="0.3">
      <c r="A1024" s="185" t="s">
        <v>2830</v>
      </c>
      <c r="B1024" s="352" t="s">
        <v>2831</v>
      </c>
      <c r="C1024" s="187" t="s">
        <v>331</v>
      </c>
      <c r="D1024" s="225" t="s">
        <v>3145</v>
      </c>
      <c r="E1024" s="190" t="s">
        <v>5</v>
      </c>
      <c r="F1024" s="227"/>
      <c r="G1024" s="233">
        <v>44355</v>
      </c>
      <c r="H1024" s="252">
        <v>8500</v>
      </c>
      <c r="I1024" s="188">
        <v>0.3</v>
      </c>
      <c r="J1024" s="188">
        <v>2550</v>
      </c>
      <c r="K1024" s="232">
        <v>44355</v>
      </c>
      <c r="L1024" s="192"/>
      <c r="M1024" s="415">
        <v>44350</v>
      </c>
      <c r="N1024" s="415"/>
      <c r="O1024" s="415"/>
    </row>
    <row r="1025" spans="1:15" s="351" customFormat="1" ht="13.5" customHeight="1" x14ac:dyDescent="0.3">
      <c r="A1025" s="185" t="s">
        <v>2738</v>
      </c>
      <c r="B1025" s="352" t="s">
        <v>1349</v>
      </c>
      <c r="C1025" s="187" t="s">
        <v>928</v>
      </c>
      <c r="D1025" s="225" t="s">
        <v>552</v>
      </c>
      <c r="E1025" s="190">
        <v>120</v>
      </c>
      <c r="F1025" s="227" t="s">
        <v>20</v>
      </c>
      <c r="G1025" s="233">
        <v>44358</v>
      </c>
      <c r="H1025" s="252">
        <v>7000</v>
      </c>
      <c r="I1025" s="188">
        <v>370.13268409882141</v>
      </c>
      <c r="J1025" s="188">
        <v>2590928.7886917498</v>
      </c>
      <c r="K1025" s="232">
        <v>44357</v>
      </c>
      <c r="L1025" s="192" t="s">
        <v>2824</v>
      </c>
      <c r="M1025" s="414">
        <v>44350</v>
      </c>
      <c r="N1025" s="414"/>
      <c r="O1025" s="414"/>
    </row>
    <row r="1026" spans="1:15" s="351" customFormat="1" ht="13.5" customHeight="1" x14ac:dyDescent="0.3">
      <c r="A1026" s="185" t="s">
        <v>2732</v>
      </c>
      <c r="B1026" s="352" t="s">
        <v>1349</v>
      </c>
      <c r="C1026" s="187" t="s">
        <v>928</v>
      </c>
      <c r="D1026" s="225" t="s">
        <v>552</v>
      </c>
      <c r="E1026" s="190">
        <v>120</v>
      </c>
      <c r="F1026" s="227" t="s">
        <v>20</v>
      </c>
      <c r="G1026" s="233">
        <v>44358</v>
      </c>
      <c r="H1026" s="252">
        <v>2000</v>
      </c>
      <c r="I1026" s="188">
        <v>398.37168997012117</v>
      </c>
      <c r="J1026" s="188">
        <v>796743.37994024239</v>
      </c>
      <c r="K1026" s="232">
        <v>44357</v>
      </c>
      <c r="L1026" s="192" t="s">
        <v>2824</v>
      </c>
      <c r="M1026" s="414">
        <v>44350</v>
      </c>
      <c r="N1026" s="414"/>
      <c r="O1026" s="414"/>
    </row>
    <row r="1027" spans="1:15" s="351" customFormat="1" ht="13.5" customHeight="1" x14ac:dyDescent="0.3">
      <c r="A1027" s="185" t="s">
        <v>2631</v>
      </c>
      <c r="B1027" s="352" t="s">
        <v>1388</v>
      </c>
      <c r="C1027" s="187" t="s">
        <v>512</v>
      </c>
      <c r="D1027" s="225" t="s">
        <v>552</v>
      </c>
      <c r="E1027" s="190">
        <v>180</v>
      </c>
      <c r="F1027" s="227" t="s">
        <v>20</v>
      </c>
      <c r="G1027" s="233">
        <v>44375</v>
      </c>
      <c r="H1027" s="252">
        <v>4000</v>
      </c>
      <c r="I1027" s="188">
        <v>255</v>
      </c>
      <c r="J1027" s="188">
        <f>+I1027*H1027</f>
        <v>1020000</v>
      </c>
      <c r="K1027" s="232">
        <v>44362</v>
      </c>
      <c r="L1027" s="192" t="s">
        <v>3178</v>
      </c>
      <c r="M1027" s="414">
        <v>44361</v>
      </c>
      <c r="N1027" s="414"/>
      <c r="O1027" s="414"/>
    </row>
    <row r="1028" spans="1:15" s="351" customFormat="1" ht="13.5" customHeight="1" x14ac:dyDescent="0.3">
      <c r="A1028" s="185" t="s">
        <v>2982</v>
      </c>
      <c r="B1028" s="352" t="s">
        <v>1523</v>
      </c>
      <c r="C1028" s="187" t="s">
        <v>331</v>
      </c>
      <c r="D1028" s="225" t="s">
        <v>552</v>
      </c>
      <c r="E1028" s="190" t="s">
        <v>5</v>
      </c>
      <c r="F1028" s="227" t="s">
        <v>2098</v>
      </c>
      <c r="G1028" s="233">
        <v>44356</v>
      </c>
      <c r="H1028" s="252">
        <v>3303</v>
      </c>
      <c r="I1028" s="188">
        <v>476.1</v>
      </c>
      <c r="J1028" s="188">
        <v>1258046.6400000001</v>
      </c>
      <c r="K1028" s="232">
        <v>44357</v>
      </c>
      <c r="L1028" s="192">
        <v>0.8</v>
      </c>
      <c r="M1028" s="415">
        <v>44350</v>
      </c>
      <c r="N1028" s="415"/>
      <c r="O1028" s="415"/>
    </row>
    <row r="1029" spans="1:15" s="351" customFormat="1" ht="13.5" customHeight="1" x14ac:dyDescent="0.3">
      <c r="A1029" s="185" t="s">
        <v>2983</v>
      </c>
      <c r="B1029" s="352" t="s">
        <v>1525</v>
      </c>
      <c r="C1029" s="187" t="s">
        <v>331</v>
      </c>
      <c r="D1029" s="225" t="s">
        <v>552</v>
      </c>
      <c r="E1029" s="190" t="s">
        <v>5</v>
      </c>
      <c r="F1029" s="227" t="s">
        <v>2098</v>
      </c>
      <c r="G1029" s="233">
        <v>44356</v>
      </c>
      <c r="H1029" s="252">
        <v>6002</v>
      </c>
      <c r="I1029" s="188">
        <v>624.9</v>
      </c>
      <c r="J1029" s="188">
        <v>3000519.84</v>
      </c>
      <c r="K1029" s="232">
        <v>44357</v>
      </c>
      <c r="L1029" s="192">
        <v>0.8</v>
      </c>
      <c r="M1029" s="415">
        <v>44350</v>
      </c>
      <c r="N1029" s="415"/>
      <c r="O1029" s="415"/>
    </row>
    <row r="1030" spans="1:15" s="351" customFormat="1" ht="13.5" customHeight="1" x14ac:dyDescent="0.3">
      <c r="A1030" s="185" t="s">
        <v>3177</v>
      </c>
      <c r="B1030" s="352" t="s">
        <v>1387</v>
      </c>
      <c r="C1030" s="187" t="s">
        <v>928</v>
      </c>
      <c r="D1030" s="225" t="s">
        <v>552</v>
      </c>
      <c r="E1030" s="190" t="s">
        <v>5</v>
      </c>
      <c r="F1030" s="227"/>
      <c r="G1030" s="233">
        <v>44364</v>
      </c>
      <c r="H1030" s="252">
        <v>820.75</v>
      </c>
      <c r="I1030" s="188">
        <v>640</v>
      </c>
      <c r="J1030" s="188">
        <f>+I1030*H1030</f>
        <v>525280</v>
      </c>
      <c r="K1030" s="232">
        <v>44364</v>
      </c>
      <c r="L1030" s="192"/>
      <c r="M1030" s="416"/>
      <c r="N1030" s="416"/>
      <c r="O1030" s="416"/>
    </row>
    <row r="1031" spans="1:15" s="351" customFormat="1" ht="13.5" customHeight="1" x14ac:dyDescent="0.3">
      <c r="A1031" s="185" t="s">
        <v>3147</v>
      </c>
      <c r="B1031" s="352" t="s">
        <v>1649</v>
      </c>
      <c r="C1031" s="187" t="s">
        <v>331</v>
      </c>
      <c r="D1031" s="225" t="s">
        <v>3170</v>
      </c>
      <c r="E1031" s="190">
        <v>30</v>
      </c>
      <c r="F1031" s="227" t="s">
        <v>45</v>
      </c>
      <c r="G1031" s="233">
        <v>44360</v>
      </c>
      <c r="H1031" s="252">
        <v>81</v>
      </c>
      <c r="I1031" s="188">
        <v>249</v>
      </c>
      <c r="J1031" s="188">
        <f>+I1031*H1031</f>
        <v>20169</v>
      </c>
      <c r="K1031" s="232">
        <v>44364</v>
      </c>
      <c r="L1031" s="192"/>
      <c r="M1031" s="416">
        <v>44356</v>
      </c>
      <c r="N1031" s="416"/>
      <c r="O1031" s="416"/>
    </row>
    <row r="1032" spans="1:15" s="351" customFormat="1" ht="13.5" customHeight="1" x14ac:dyDescent="0.3">
      <c r="A1032" s="185" t="s">
        <v>2633</v>
      </c>
      <c r="B1032" s="352" t="s">
        <v>1599</v>
      </c>
      <c r="C1032" s="187" t="s">
        <v>2374</v>
      </c>
      <c r="D1032" s="225" t="s">
        <v>2832</v>
      </c>
      <c r="E1032" s="190">
        <v>120</v>
      </c>
      <c r="F1032" s="227" t="s">
        <v>20</v>
      </c>
      <c r="G1032" s="233">
        <v>44365</v>
      </c>
      <c r="H1032" s="252">
        <v>504.29500000000002</v>
      </c>
      <c r="I1032" s="188">
        <v>260</v>
      </c>
      <c r="J1032" s="188">
        <f t="shared" ref="J1032:J1040" si="35">+I1032*H1032</f>
        <v>131116.70000000001</v>
      </c>
      <c r="K1032" s="232">
        <v>44365</v>
      </c>
      <c r="L1032" s="192"/>
      <c r="M1032" s="416">
        <v>44350</v>
      </c>
      <c r="N1032" s="416"/>
      <c r="O1032" s="416"/>
    </row>
    <row r="1033" spans="1:15" s="351" customFormat="1" ht="13.5" customHeight="1" x14ac:dyDescent="0.3">
      <c r="A1033" s="185" t="s">
        <v>2975</v>
      </c>
      <c r="B1033" s="352" t="s">
        <v>1785</v>
      </c>
      <c r="C1033" s="187" t="s">
        <v>331</v>
      </c>
      <c r="D1033" s="225" t="s">
        <v>3143</v>
      </c>
      <c r="E1033" s="190" t="s">
        <v>5</v>
      </c>
      <c r="F1033" s="227"/>
      <c r="G1033" s="233">
        <v>44360</v>
      </c>
      <c r="H1033" s="252">
        <v>53.6</v>
      </c>
      <c r="I1033" s="188">
        <v>316.39999999999998</v>
      </c>
      <c r="J1033" s="188">
        <f t="shared" si="35"/>
        <v>16959.04</v>
      </c>
      <c r="K1033" s="232">
        <v>44365</v>
      </c>
      <c r="L1033" s="192"/>
      <c r="M1033" s="417">
        <v>44356</v>
      </c>
      <c r="N1033" s="417"/>
      <c r="O1033" s="417"/>
    </row>
    <row r="1034" spans="1:15" s="351" customFormat="1" ht="13.5" customHeight="1" x14ac:dyDescent="0.3">
      <c r="A1034" s="185" t="s">
        <v>3152</v>
      </c>
      <c r="B1034" s="352" t="s">
        <v>1649</v>
      </c>
      <c r="C1034" s="187" t="s">
        <v>331</v>
      </c>
      <c r="D1034" s="225" t="s">
        <v>3171</v>
      </c>
      <c r="E1034" s="190">
        <v>30</v>
      </c>
      <c r="F1034" s="227" t="s">
        <v>45</v>
      </c>
      <c r="G1034" s="233">
        <v>44368</v>
      </c>
      <c r="H1034" s="252">
        <v>513</v>
      </c>
      <c r="I1034" s="188">
        <v>249</v>
      </c>
      <c r="J1034" s="188">
        <f t="shared" si="35"/>
        <v>127737</v>
      </c>
      <c r="K1034" s="232">
        <v>44368</v>
      </c>
      <c r="L1034" s="192"/>
      <c r="M1034" s="416">
        <v>44356</v>
      </c>
      <c r="N1034" s="416"/>
      <c r="O1034" s="416"/>
    </row>
    <row r="1035" spans="1:15" s="351" customFormat="1" ht="13.5" customHeight="1" x14ac:dyDescent="0.25">
      <c r="A1035" s="185" t="s">
        <v>2911</v>
      </c>
      <c r="B1035" s="352" t="s">
        <v>1313</v>
      </c>
      <c r="C1035" s="187" t="s">
        <v>42</v>
      </c>
      <c r="D1035" s="225" t="s">
        <v>3175</v>
      </c>
      <c r="E1035" s="190" t="s">
        <v>5</v>
      </c>
      <c r="F1035" s="227"/>
      <c r="G1035" s="233">
        <v>44368</v>
      </c>
      <c r="H1035" s="252">
        <v>95.76</v>
      </c>
      <c r="I1035" s="188">
        <v>280</v>
      </c>
      <c r="J1035" s="188">
        <f t="shared" si="35"/>
        <v>26812.800000000003</v>
      </c>
      <c r="K1035" s="232">
        <v>44368</v>
      </c>
      <c r="L1035" s="192"/>
      <c r="M1035" s="418">
        <v>44356</v>
      </c>
      <c r="N1035" s="418"/>
      <c r="O1035" s="418"/>
    </row>
    <row r="1036" spans="1:15" s="351" customFormat="1" ht="13.5" customHeight="1" x14ac:dyDescent="0.25">
      <c r="A1036" s="185" t="s">
        <v>3185</v>
      </c>
      <c r="B1036" s="352" t="s">
        <v>1313</v>
      </c>
      <c r="C1036" s="187" t="s">
        <v>42</v>
      </c>
      <c r="D1036" s="225" t="s">
        <v>3187</v>
      </c>
      <c r="E1036" s="190" t="s">
        <v>5</v>
      </c>
      <c r="F1036" s="227"/>
      <c r="G1036" s="233">
        <v>44368</v>
      </c>
      <c r="H1036" s="252">
        <v>374.28</v>
      </c>
      <c r="I1036" s="188">
        <v>280</v>
      </c>
      <c r="J1036" s="188">
        <f t="shared" si="35"/>
        <v>104798.39999999999</v>
      </c>
      <c r="K1036" s="232">
        <v>44368</v>
      </c>
      <c r="L1036" s="192"/>
      <c r="M1036" s="418">
        <v>44356</v>
      </c>
      <c r="N1036" s="418"/>
      <c r="O1036" s="418"/>
    </row>
    <row r="1037" spans="1:15" s="351" customFormat="1" ht="13.5" customHeight="1" x14ac:dyDescent="0.3">
      <c r="A1037" s="185" t="s">
        <v>3154</v>
      </c>
      <c r="B1037" s="352" t="s">
        <v>1649</v>
      </c>
      <c r="C1037" s="187" t="s">
        <v>331</v>
      </c>
      <c r="D1037" s="225" t="s">
        <v>3172</v>
      </c>
      <c r="E1037" s="190">
        <v>30</v>
      </c>
      <c r="F1037" s="227" t="s">
        <v>45</v>
      </c>
      <c r="G1037" s="233">
        <v>44372</v>
      </c>
      <c r="H1037" s="252">
        <v>270</v>
      </c>
      <c r="I1037" s="188">
        <v>249</v>
      </c>
      <c r="J1037" s="188">
        <f t="shared" si="35"/>
        <v>67230</v>
      </c>
      <c r="K1037" s="232">
        <v>44370</v>
      </c>
      <c r="L1037" s="192"/>
      <c r="M1037" s="418">
        <v>44356</v>
      </c>
      <c r="N1037" s="418"/>
      <c r="O1037" s="418"/>
    </row>
    <row r="1038" spans="1:15" s="351" customFormat="1" ht="13.5" customHeight="1" x14ac:dyDescent="0.3">
      <c r="A1038" s="185" t="s">
        <v>2678</v>
      </c>
      <c r="B1038" s="352" t="s">
        <v>1325</v>
      </c>
      <c r="C1038" s="187" t="s">
        <v>928</v>
      </c>
      <c r="D1038" s="225" t="s">
        <v>2985</v>
      </c>
      <c r="E1038" s="190">
        <v>90</v>
      </c>
      <c r="F1038" s="227" t="s">
        <v>20</v>
      </c>
      <c r="G1038" s="233">
        <v>44370</v>
      </c>
      <c r="H1038" s="252">
        <v>312</v>
      </c>
      <c r="I1038" s="188">
        <v>944.24</v>
      </c>
      <c r="J1038" s="188">
        <f t="shared" si="35"/>
        <v>294602.88</v>
      </c>
      <c r="K1038" s="232">
        <v>44371</v>
      </c>
      <c r="L1038" s="192"/>
      <c r="M1038" s="418"/>
      <c r="N1038" s="418"/>
      <c r="O1038" s="418"/>
    </row>
    <row r="1039" spans="1:15" s="351" customFormat="1" ht="13.5" customHeight="1" x14ac:dyDescent="0.3">
      <c r="A1039" s="185" t="s">
        <v>2680</v>
      </c>
      <c r="B1039" s="352" t="s">
        <v>1325</v>
      </c>
      <c r="C1039" s="187" t="s">
        <v>928</v>
      </c>
      <c r="D1039" s="225" t="s">
        <v>2886</v>
      </c>
      <c r="E1039" s="190">
        <v>90</v>
      </c>
      <c r="F1039" s="227" t="s">
        <v>20</v>
      </c>
      <c r="G1039" s="233">
        <v>44370</v>
      </c>
      <c r="H1039" s="252">
        <v>264</v>
      </c>
      <c r="I1039" s="188">
        <v>1002</v>
      </c>
      <c r="J1039" s="188">
        <f t="shared" si="35"/>
        <v>264528</v>
      </c>
      <c r="K1039" s="232">
        <v>44371</v>
      </c>
      <c r="L1039" s="192"/>
      <c r="M1039" s="418"/>
      <c r="N1039" s="418"/>
      <c r="O1039" s="418"/>
    </row>
    <row r="1040" spans="1:15" s="351" customFormat="1" ht="13.5" customHeight="1" x14ac:dyDescent="0.25">
      <c r="A1040" s="185" t="s">
        <v>3176</v>
      </c>
      <c r="B1040" s="352" t="s">
        <v>1349</v>
      </c>
      <c r="C1040" s="187" t="s">
        <v>928</v>
      </c>
      <c r="D1040" s="225" t="s">
        <v>552</v>
      </c>
      <c r="E1040" s="190" t="s">
        <v>5</v>
      </c>
      <c r="F1040" s="227"/>
      <c r="G1040" s="233">
        <v>44368</v>
      </c>
      <c r="H1040" s="252">
        <v>1880</v>
      </c>
      <c r="I1040" s="188">
        <v>465</v>
      </c>
      <c r="J1040" s="188">
        <f t="shared" si="35"/>
        <v>874200</v>
      </c>
      <c r="K1040" s="232">
        <v>44372</v>
      </c>
      <c r="L1040" s="192"/>
      <c r="M1040" s="418"/>
      <c r="N1040" s="418"/>
      <c r="O1040" s="418"/>
    </row>
    <row r="1041" spans="1:15" s="351" customFormat="1" ht="13.5" customHeight="1" x14ac:dyDescent="0.25">
      <c r="A1041" s="185" t="s">
        <v>2916</v>
      </c>
      <c r="B1041" s="352" t="s">
        <v>1999</v>
      </c>
      <c r="C1041" s="187" t="s">
        <v>1036</v>
      </c>
      <c r="D1041" s="225" t="s">
        <v>3199</v>
      </c>
      <c r="E1041" s="190" t="s">
        <v>5</v>
      </c>
      <c r="F1041" s="227"/>
      <c r="G1041" s="233">
        <v>44372</v>
      </c>
      <c r="H1041" s="252">
        <v>100</v>
      </c>
      <c r="I1041" s="188">
        <v>172</v>
      </c>
      <c r="J1041" s="188">
        <f t="shared" ref="J1041:J1050" si="36">+I1041*H1041</f>
        <v>17200</v>
      </c>
      <c r="K1041" s="232">
        <v>44372</v>
      </c>
      <c r="L1041" s="192"/>
      <c r="M1041" s="419">
        <v>44372</v>
      </c>
      <c r="N1041" s="419"/>
      <c r="O1041" s="419"/>
    </row>
    <row r="1042" spans="1:15" s="351" customFormat="1" ht="13.5" customHeight="1" x14ac:dyDescent="0.3">
      <c r="A1042" s="185" t="s">
        <v>3155</v>
      </c>
      <c r="B1042" s="352" t="s">
        <v>1526</v>
      </c>
      <c r="C1042" s="187" t="s">
        <v>331</v>
      </c>
      <c r="D1042" s="225" t="s">
        <v>3258</v>
      </c>
      <c r="E1042" s="190">
        <v>30</v>
      </c>
      <c r="F1042" s="227" t="s">
        <v>45</v>
      </c>
      <c r="G1042" s="233">
        <v>44380</v>
      </c>
      <c r="H1042" s="252">
        <v>91.8</v>
      </c>
      <c r="I1042" s="188">
        <v>249</v>
      </c>
      <c r="J1042" s="188">
        <f t="shared" si="36"/>
        <v>22858.2</v>
      </c>
      <c r="K1042" s="232">
        <v>44377</v>
      </c>
      <c r="L1042" s="192"/>
      <c r="M1042" s="419">
        <v>44377</v>
      </c>
      <c r="N1042" s="419"/>
      <c r="O1042" s="419"/>
    </row>
    <row r="1043" spans="1:15" s="351" customFormat="1" ht="13.5" customHeight="1" x14ac:dyDescent="0.3">
      <c r="A1043" s="185" t="s">
        <v>3188</v>
      </c>
      <c r="B1043" s="352" t="s">
        <v>1526</v>
      </c>
      <c r="C1043" s="187" t="s">
        <v>331</v>
      </c>
      <c r="D1043" s="225" t="s">
        <v>3258</v>
      </c>
      <c r="E1043" s="190">
        <v>30</v>
      </c>
      <c r="F1043" s="227" t="s">
        <v>45</v>
      </c>
      <c r="G1043" s="233">
        <v>44380</v>
      </c>
      <c r="H1043" s="252">
        <v>27</v>
      </c>
      <c r="I1043" s="188">
        <v>249</v>
      </c>
      <c r="J1043" s="188">
        <f t="shared" si="36"/>
        <v>6723</v>
      </c>
      <c r="K1043" s="232">
        <v>44377</v>
      </c>
      <c r="L1043" s="192"/>
      <c r="M1043" s="419">
        <v>44377</v>
      </c>
      <c r="N1043" s="419"/>
      <c r="O1043" s="419"/>
    </row>
    <row r="1044" spans="1:15" s="351" customFormat="1" ht="13.5" customHeight="1" x14ac:dyDescent="0.3">
      <c r="A1044" s="185" t="s">
        <v>3156</v>
      </c>
      <c r="B1044" s="352" t="s">
        <v>1526</v>
      </c>
      <c r="C1044" s="187" t="s">
        <v>331</v>
      </c>
      <c r="D1044" s="225" t="s">
        <v>3258</v>
      </c>
      <c r="E1044" s="190">
        <v>30</v>
      </c>
      <c r="F1044" s="227" t="s">
        <v>45</v>
      </c>
      <c r="G1044" s="233">
        <v>44380</v>
      </c>
      <c r="H1044" s="252">
        <v>43.2</v>
      </c>
      <c r="I1044" s="188">
        <v>249</v>
      </c>
      <c r="J1044" s="188">
        <f t="shared" si="36"/>
        <v>10756.800000000001</v>
      </c>
      <c r="K1044" s="232">
        <v>44377</v>
      </c>
      <c r="L1044" s="192"/>
      <c r="M1044" s="419">
        <v>44377</v>
      </c>
      <c r="N1044" s="419"/>
      <c r="O1044" s="419"/>
    </row>
    <row r="1045" spans="1:15" s="351" customFormat="1" ht="13.5" customHeight="1" x14ac:dyDescent="0.3">
      <c r="A1045" s="185" t="s">
        <v>3189</v>
      </c>
      <c r="B1045" s="352" t="s">
        <v>1526</v>
      </c>
      <c r="C1045" s="187" t="s">
        <v>331</v>
      </c>
      <c r="D1045" s="225" t="s">
        <v>3258</v>
      </c>
      <c r="E1045" s="190">
        <v>30</v>
      </c>
      <c r="F1045" s="227" t="s">
        <v>45</v>
      </c>
      <c r="G1045" s="233">
        <v>44380</v>
      </c>
      <c r="H1045" s="252">
        <v>81</v>
      </c>
      <c r="I1045" s="188">
        <v>249</v>
      </c>
      <c r="J1045" s="188">
        <f t="shared" si="36"/>
        <v>20169</v>
      </c>
      <c r="K1045" s="232">
        <v>44377</v>
      </c>
      <c r="L1045" s="192"/>
      <c r="M1045" s="419">
        <v>44377</v>
      </c>
      <c r="N1045" s="419"/>
      <c r="O1045" s="419"/>
    </row>
    <row r="1046" spans="1:15" s="351" customFormat="1" ht="13.35" customHeight="1" x14ac:dyDescent="0.3">
      <c r="A1046" s="185" t="s">
        <v>3163</v>
      </c>
      <c r="B1046" s="352" t="s">
        <v>1782</v>
      </c>
      <c r="C1046" s="187" t="s">
        <v>331</v>
      </c>
      <c r="D1046" s="225" t="s">
        <v>3259</v>
      </c>
      <c r="E1046" s="190" t="s">
        <v>5</v>
      </c>
      <c r="F1046" s="227"/>
      <c r="G1046" s="233">
        <v>44372</v>
      </c>
      <c r="H1046" s="252">
        <v>154</v>
      </c>
      <c r="I1046" s="188">
        <v>567</v>
      </c>
      <c r="J1046" s="188">
        <f t="shared" si="36"/>
        <v>87318</v>
      </c>
      <c r="K1046" s="232">
        <v>44377</v>
      </c>
      <c r="L1046" s="192"/>
      <c r="M1046" s="419">
        <v>44377</v>
      </c>
      <c r="N1046" s="419"/>
      <c r="O1046" s="419"/>
    </row>
    <row r="1047" spans="1:15" s="351" customFormat="1" ht="13.5" customHeight="1" x14ac:dyDescent="0.3">
      <c r="A1047" s="185" t="s">
        <v>2909</v>
      </c>
      <c r="B1047" s="352" t="s">
        <v>2919</v>
      </c>
      <c r="C1047" s="187" t="s">
        <v>1497</v>
      </c>
      <c r="D1047" s="225" t="s">
        <v>2920</v>
      </c>
      <c r="E1047" s="190">
        <v>90</v>
      </c>
      <c r="F1047" s="227" t="s">
        <v>20</v>
      </c>
      <c r="G1047" s="233">
        <v>44376</v>
      </c>
      <c r="H1047" s="252">
        <v>24.8</v>
      </c>
      <c r="I1047" s="188">
        <v>960</v>
      </c>
      <c r="J1047" s="188">
        <f t="shared" si="36"/>
        <v>23808</v>
      </c>
      <c r="K1047" s="232">
        <v>44378</v>
      </c>
      <c r="L1047" s="192"/>
      <c r="M1047" s="419">
        <v>44378</v>
      </c>
      <c r="N1047" s="419"/>
      <c r="O1047" s="419"/>
    </row>
    <row r="1048" spans="1:15" s="351" customFormat="1" ht="13.5" customHeight="1" x14ac:dyDescent="0.3">
      <c r="A1048" s="185" t="s">
        <v>3007</v>
      </c>
      <c r="B1048" s="352" t="s">
        <v>1785</v>
      </c>
      <c r="C1048" s="187" t="s">
        <v>331</v>
      </c>
      <c r="D1048" s="225" t="s">
        <v>3255</v>
      </c>
      <c r="E1048" s="190" t="s">
        <v>5</v>
      </c>
      <c r="F1048" s="227"/>
      <c r="G1048" s="233">
        <v>44372</v>
      </c>
      <c r="H1048" s="252">
        <v>53.85</v>
      </c>
      <c r="I1048" s="188">
        <v>315.55</v>
      </c>
      <c r="J1048" s="188">
        <f t="shared" si="36"/>
        <v>16992.3675</v>
      </c>
      <c r="K1048" s="232">
        <v>44383</v>
      </c>
      <c r="L1048" s="192"/>
      <c r="M1048" s="419">
        <v>44382</v>
      </c>
      <c r="N1048" s="419"/>
      <c r="O1048" s="419"/>
    </row>
    <row r="1049" spans="1:15" s="351" customFormat="1" ht="13.5" customHeight="1" x14ac:dyDescent="0.3">
      <c r="A1049" s="185" t="s">
        <v>3008</v>
      </c>
      <c r="B1049" s="352" t="s">
        <v>1785</v>
      </c>
      <c r="C1049" s="187" t="s">
        <v>331</v>
      </c>
      <c r="D1049" s="225" t="s">
        <v>3256</v>
      </c>
      <c r="E1049" s="190" t="s">
        <v>5</v>
      </c>
      <c r="F1049" s="227"/>
      <c r="G1049" s="233">
        <v>44372</v>
      </c>
      <c r="H1049" s="252">
        <v>267.60000000000002</v>
      </c>
      <c r="I1049" s="188">
        <v>292.93</v>
      </c>
      <c r="J1049" s="188">
        <f t="shared" si="36"/>
        <v>78388.068000000014</v>
      </c>
      <c r="K1049" s="232">
        <v>44383</v>
      </c>
      <c r="L1049" s="192"/>
      <c r="M1049" s="419">
        <v>44382</v>
      </c>
      <c r="N1049" s="419"/>
      <c r="O1049" s="419"/>
    </row>
    <row r="1050" spans="1:15" s="351" customFormat="1" ht="13.5" customHeight="1" x14ac:dyDescent="0.3">
      <c r="A1050" s="185" t="s">
        <v>3009</v>
      </c>
      <c r="B1050" s="352" t="s">
        <v>1785</v>
      </c>
      <c r="C1050" s="187" t="s">
        <v>331</v>
      </c>
      <c r="D1050" s="225" t="s">
        <v>3257</v>
      </c>
      <c r="E1050" s="190" t="s">
        <v>5</v>
      </c>
      <c r="F1050" s="227"/>
      <c r="G1050" s="233">
        <v>44372</v>
      </c>
      <c r="H1050" s="252">
        <v>187</v>
      </c>
      <c r="I1050" s="188">
        <v>291.7</v>
      </c>
      <c r="J1050" s="188">
        <f t="shared" si="36"/>
        <v>54547.9</v>
      </c>
      <c r="K1050" s="232">
        <v>44383</v>
      </c>
      <c r="L1050" s="192"/>
      <c r="M1050" s="419">
        <v>44382</v>
      </c>
      <c r="N1050" s="419"/>
      <c r="O1050" s="419"/>
    </row>
    <row r="1051" spans="1:15" s="351" customFormat="1" ht="13.5" customHeight="1" x14ac:dyDescent="0.3">
      <c r="A1051" s="185" t="s">
        <v>3164</v>
      </c>
      <c r="B1051" s="352" t="s">
        <v>1782</v>
      </c>
      <c r="C1051" s="187" t="s">
        <v>331</v>
      </c>
      <c r="D1051" s="225" t="s">
        <v>3260</v>
      </c>
      <c r="E1051" s="190" t="s">
        <v>5</v>
      </c>
      <c r="F1051" s="227"/>
      <c r="G1051" s="233">
        <v>44372</v>
      </c>
      <c r="H1051" s="252">
        <v>154</v>
      </c>
      <c r="I1051" s="188">
        <v>567</v>
      </c>
      <c r="J1051" s="188">
        <v>87318</v>
      </c>
      <c r="K1051" s="232">
        <v>44383</v>
      </c>
      <c r="L1051" s="192"/>
      <c r="M1051" s="419">
        <v>44382</v>
      </c>
      <c r="N1051" s="419"/>
      <c r="O1051" s="419"/>
    </row>
    <row r="1052" spans="1:15" s="351" customFormat="1" ht="13.5" customHeight="1" x14ac:dyDescent="0.3">
      <c r="A1052" s="185" t="s">
        <v>3266</v>
      </c>
      <c r="B1052" s="352" t="s">
        <v>1649</v>
      </c>
      <c r="C1052" s="187" t="s">
        <v>331</v>
      </c>
      <c r="D1052" s="225" t="s">
        <v>3275</v>
      </c>
      <c r="E1052" s="190" t="s">
        <v>5</v>
      </c>
      <c r="F1052" s="227"/>
      <c r="G1052" s="233">
        <v>44391</v>
      </c>
      <c r="H1052" s="252">
        <v>297</v>
      </c>
      <c r="I1052" s="188">
        <v>249</v>
      </c>
      <c r="J1052" s="188">
        <v>73953</v>
      </c>
      <c r="K1052" s="232">
        <v>44383</v>
      </c>
      <c r="L1052" s="192"/>
      <c r="M1052" s="419"/>
      <c r="N1052" s="419"/>
      <c r="O1052" s="419"/>
    </row>
    <row r="1053" spans="1:15" s="351" customFormat="1" ht="13.5" customHeight="1" x14ac:dyDescent="0.3">
      <c r="A1053" s="185" t="s">
        <v>3006</v>
      </c>
      <c r="B1053" s="352" t="s">
        <v>1292</v>
      </c>
      <c r="C1053" s="187" t="s">
        <v>280</v>
      </c>
      <c r="D1053" s="225" t="s">
        <v>2799</v>
      </c>
      <c r="E1053" s="190">
        <v>90</v>
      </c>
      <c r="F1053" s="227" t="s">
        <v>20</v>
      </c>
      <c r="G1053" s="233">
        <v>44380</v>
      </c>
      <c r="H1053" s="252">
        <v>1300</v>
      </c>
      <c r="I1053" s="188">
        <v>101</v>
      </c>
      <c r="J1053" s="188">
        <f>+I1053*H1053</f>
        <v>131300</v>
      </c>
      <c r="K1053" s="232">
        <v>44384</v>
      </c>
      <c r="L1053" s="192" t="s">
        <v>3282</v>
      </c>
      <c r="M1053" s="419">
        <v>44377</v>
      </c>
      <c r="N1053" s="419"/>
      <c r="O1053" s="419"/>
    </row>
    <row r="1054" spans="1:15" s="351" customFormat="1" ht="13.5" customHeight="1" x14ac:dyDescent="0.25">
      <c r="A1054" s="185" t="s">
        <v>3186</v>
      </c>
      <c r="B1054" s="352" t="s">
        <v>1313</v>
      </c>
      <c r="C1054" s="187" t="s">
        <v>42</v>
      </c>
      <c r="D1054" s="225" t="s">
        <v>3262</v>
      </c>
      <c r="E1054" s="190" t="s">
        <v>5</v>
      </c>
      <c r="F1054" s="227"/>
      <c r="G1054" s="233">
        <v>44368</v>
      </c>
      <c r="H1054" s="252">
        <v>24.34</v>
      </c>
      <c r="I1054" s="188">
        <v>280</v>
      </c>
      <c r="J1054" s="188">
        <f>+I1054*H1054</f>
        <v>6815.2</v>
      </c>
      <c r="K1054" s="232">
        <v>44384</v>
      </c>
      <c r="L1054" s="192"/>
      <c r="M1054" s="419">
        <v>44382</v>
      </c>
      <c r="N1054" s="419"/>
      <c r="O1054" s="419"/>
    </row>
    <row r="1055" spans="1:15" s="351" customFormat="1" ht="13.5" customHeight="1" x14ac:dyDescent="0.25">
      <c r="A1055" s="185" t="s">
        <v>3148</v>
      </c>
      <c r="B1055" s="352" t="s">
        <v>653</v>
      </c>
      <c r="C1055" s="187" t="s">
        <v>1497</v>
      </c>
      <c r="D1055" s="225" t="s">
        <v>3253</v>
      </c>
      <c r="E1055" s="190" t="s">
        <v>5</v>
      </c>
      <c r="F1055" s="227"/>
      <c r="G1055" s="233">
        <v>44385</v>
      </c>
      <c r="H1055" s="252">
        <v>408</v>
      </c>
      <c r="I1055" s="188">
        <v>658</v>
      </c>
      <c r="J1055" s="188">
        <v>268464</v>
      </c>
      <c r="K1055" s="232">
        <v>44385</v>
      </c>
      <c r="L1055" s="192"/>
      <c r="M1055" s="419">
        <v>44384</v>
      </c>
      <c r="N1055" s="419"/>
      <c r="O1055" s="419"/>
    </row>
    <row r="1056" spans="1:15" s="351" customFormat="1" ht="13.5" customHeight="1" x14ac:dyDescent="0.25">
      <c r="A1056" s="185" t="s">
        <v>3167</v>
      </c>
      <c r="B1056" s="352" t="s">
        <v>653</v>
      </c>
      <c r="C1056" s="187" t="s">
        <v>1497</v>
      </c>
      <c r="D1056" s="225" t="s">
        <v>3254</v>
      </c>
      <c r="E1056" s="190" t="s">
        <v>5</v>
      </c>
      <c r="F1056" s="227"/>
      <c r="G1056" s="233">
        <v>44385</v>
      </c>
      <c r="H1056" s="252">
        <v>408</v>
      </c>
      <c r="I1056" s="188">
        <v>658</v>
      </c>
      <c r="J1056" s="188">
        <v>268464</v>
      </c>
      <c r="K1056" s="232">
        <v>44385</v>
      </c>
      <c r="L1056" s="192"/>
      <c r="M1056" s="419">
        <v>44384</v>
      </c>
      <c r="N1056" s="419"/>
      <c r="O1056" s="419"/>
    </row>
    <row r="1057" spans="1:15" s="351" customFormat="1" ht="13.5" customHeight="1" x14ac:dyDescent="0.3">
      <c r="A1057" s="185" t="s">
        <v>3166</v>
      </c>
      <c r="B1057" s="352" t="s">
        <v>1784</v>
      </c>
      <c r="C1057" s="187" t="s">
        <v>331</v>
      </c>
      <c r="D1057" s="225" t="s">
        <v>3261</v>
      </c>
      <c r="E1057" s="190" t="s">
        <v>5</v>
      </c>
      <c r="F1057" s="227"/>
      <c r="G1057" s="233">
        <v>44383</v>
      </c>
      <c r="H1057" s="252">
        <v>264</v>
      </c>
      <c r="I1057" s="188">
        <v>551</v>
      </c>
      <c r="J1057" s="188">
        <f>+I1057*H1057</f>
        <v>145464</v>
      </c>
      <c r="K1057" s="232">
        <v>44389</v>
      </c>
      <c r="L1057" s="192"/>
      <c r="M1057" s="420">
        <v>44384</v>
      </c>
      <c r="N1057" s="420"/>
      <c r="O1057" s="420"/>
    </row>
    <row r="1058" spans="1:15" s="351" customFormat="1" ht="13.5" customHeight="1" x14ac:dyDescent="0.3">
      <c r="A1058" s="185" t="s">
        <v>2715</v>
      </c>
      <c r="B1058" s="352" t="s">
        <v>1600</v>
      </c>
      <c r="C1058" s="187" t="s">
        <v>2374</v>
      </c>
      <c r="D1058" s="225" t="s">
        <v>2922</v>
      </c>
      <c r="E1058" s="190">
        <v>120</v>
      </c>
      <c r="F1058" s="227" t="s">
        <v>20</v>
      </c>
      <c r="G1058" s="233">
        <v>44382</v>
      </c>
      <c r="H1058" s="252">
        <v>112.012</v>
      </c>
      <c r="I1058" s="188">
        <v>488</v>
      </c>
      <c r="J1058" s="188">
        <f>+I1058*H1058</f>
        <v>54661.856</v>
      </c>
      <c r="K1058" s="232">
        <v>44390</v>
      </c>
      <c r="L1058" s="192"/>
      <c r="M1058" s="420">
        <v>44377</v>
      </c>
      <c r="N1058" s="420"/>
      <c r="O1058" s="420"/>
    </row>
    <row r="1059" spans="1:15" s="351" customFormat="1" ht="13.5" customHeight="1" x14ac:dyDescent="0.3">
      <c r="A1059" s="185" t="s">
        <v>2711</v>
      </c>
      <c r="B1059" s="352" t="s">
        <v>1325</v>
      </c>
      <c r="C1059" s="187" t="s">
        <v>928</v>
      </c>
      <c r="D1059" s="225" t="s">
        <v>2984</v>
      </c>
      <c r="E1059" s="190">
        <v>90</v>
      </c>
      <c r="F1059" s="227" t="s">
        <v>20</v>
      </c>
      <c r="G1059" s="233">
        <v>44384</v>
      </c>
      <c r="H1059" s="252">
        <v>168</v>
      </c>
      <c r="I1059" s="188">
        <v>944.24</v>
      </c>
      <c r="J1059" s="188">
        <v>158632.32000000001</v>
      </c>
      <c r="K1059" s="232">
        <v>44390</v>
      </c>
      <c r="L1059" s="192"/>
      <c r="M1059" s="420">
        <v>44377</v>
      </c>
      <c r="N1059" s="420"/>
      <c r="O1059" s="420"/>
    </row>
    <row r="1060" spans="1:15" s="351" customFormat="1" ht="13.5" customHeight="1" x14ac:dyDescent="0.3">
      <c r="A1060" s="185" t="s">
        <v>2683</v>
      </c>
      <c r="B1060" s="352" t="s">
        <v>1325</v>
      </c>
      <c r="C1060" s="187" t="s">
        <v>928</v>
      </c>
      <c r="D1060" s="225" t="s">
        <v>2987</v>
      </c>
      <c r="E1060" s="190">
        <v>90</v>
      </c>
      <c r="F1060" s="227" t="s">
        <v>20</v>
      </c>
      <c r="G1060" s="233">
        <v>44379</v>
      </c>
      <c r="H1060" s="252">
        <v>312</v>
      </c>
      <c r="I1060" s="188">
        <v>980</v>
      </c>
      <c r="J1060" s="188">
        <v>305760</v>
      </c>
      <c r="K1060" s="232">
        <v>44390</v>
      </c>
      <c r="L1060" s="192"/>
      <c r="M1060" s="420">
        <v>44377</v>
      </c>
      <c r="N1060" s="420"/>
      <c r="O1060" s="420"/>
    </row>
    <row r="1061" spans="1:15" s="351" customFormat="1" ht="13.5" customHeight="1" x14ac:dyDescent="0.3">
      <c r="A1061" s="185" t="s">
        <v>2990</v>
      </c>
      <c r="B1061" s="352" t="s">
        <v>502</v>
      </c>
      <c r="C1061" s="187" t="s">
        <v>1497</v>
      </c>
      <c r="D1061" s="225" t="s">
        <v>2993</v>
      </c>
      <c r="E1061" s="190">
        <v>90</v>
      </c>
      <c r="F1061" s="227" t="s">
        <v>20</v>
      </c>
      <c r="G1061" s="233">
        <v>44390</v>
      </c>
      <c r="H1061" s="252">
        <v>243</v>
      </c>
      <c r="I1061" s="188">
        <v>605</v>
      </c>
      <c r="J1061" s="188">
        <v>147015</v>
      </c>
      <c r="K1061" s="232">
        <v>44390</v>
      </c>
      <c r="L1061" s="192"/>
      <c r="M1061" s="420">
        <v>44382</v>
      </c>
      <c r="N1061" s="420"/>
      <c r="O1061" s="420"/>
    </row>
    <row r="1062" spans="1:15" s="351" customFormat="1" ht="13.5" customHeight="1" x14ac:dyDescent="0.3">
      <c r="A1062" s="185" t="s">
        <v>2877</v>
      </c>
      <c r="B1062" s="352" t="s">
        <v>1598</v>
      </c>
      <c r="C1062" s="187" t="s">
        <v>1497</v>
      </c>
      <c r="D1062" s="225" t="s">
        <v>2996</v>
      </c>
      <c r="E1062" s="190">
        <v>90</v>
      </c>
      <c r="F1062" s="227" t="s">
        <v>20</v>
      </c>
      <c r="G1062" s="233">
        <v>44388</v>
      </c>
      <c r="H1062" s="252">
        <v>10.7</v>
      </c>
      <c r="I1062" s="188">
        <v>9906.5420560747662</v>
      </c>
      <c r="J1062" s="188">
        <v>105999.99999999999</v>
      </c>
      <c r="K1062" s="232">
        <v>44390</v>
      </c>
      <c r="L1062" s="192"/>
      <c r="M1062" s="420">
        <v>44382</v>
      </c>
      <c r="N1062" s="420"/>
      <c r="O1062" s="420"/>
    </row>
    <row r="1063" spans="1:15" s="351" customFormat="1" ht="13.5" customHeight="1" x14ac:dyDescent="0.3">
      <c r="A1063" s="185" t="s">
        <v>2645</v>
      </c>
      <c r="B1063" s="352" t="s">
        <v>2077</v>
      </c>
      <c r="C1063" s="187" t="s">
        <v>890</v>
      </c>
      <c r="D1063" s="225" t="s">
        <v>2885</v>
      </c>
      <c r="E1063" s="190">
        <v>120</v>
      </c>
      <c r="F1063" s="227" t="s">
        <v>20</v>
      </c>
      <c r="G1063" s="233">
        <v>44394</v>
      </c>
      <c r="H1063" s="252">
        <v>100</v>
      </c>
      <c r="I1063" s="188">
        <v>358</v>
      </c>
      <c r="J1063" s="188">
        <f>+I1063*H1063</f>
        <v>35800</v>
      </c>
      <c r="K1063" s="232">
        <v>44392</v>
      </c>
      <c r="L1063" s="192"/>
      <c r="M1063" s="427">
        <v>44392</v>
      </c>
      <c r="N1063" s="427"/>
      <c r="O1063" s="427"/>
    </row>
    <row r="1064" spans="1:15" s="351" customFormat="1" ht="13.5" customHeight="1" x14ac:dyDescent="0.3">
      <c r="A1064" s="185" t="s">
        <v>3153</v>
      </c>
      <c r="B1064" s="352" t="s">
        <v>1649</v>
      </c>
      <c r="C1064" s="187" t="s">
        <v>331</v>
      </c>
      <c r="D1064" s="225" t="s">
        <v>3290</v>
      </c>
      <c r="E1064" s="190">
        <v>30</v>
      </c>
      <c r="F1064" s="227" t="s">
        <v>45</v>
      </c>
      <c r="G1064" s="233">
        <v>44395</v>
      </c>
      <c r="H1064" s="252">
        <v>216</v>
      </c>
      <c r="I1064" s="188">
        <v>249</v>
      </c>
      <c r="J1064" s="188">
        <f>+I1064*H1064</f>
        <v>53784</v>
      </c>
      <c r="K1064" s="232">
        <v>44392</v>
      </c>
      <c r="L1064" s="192"/>
      <c r="M1064" s="427">
        <v>44392</v>
      </c>
      <c r="N1064" s="427"/>
      <c r="O1064" s="427"/>
    </row>
    <row r="1065" spans="1:15" s="351" customFormat="1" ht="13.5" customHeight="1" x14ac:dyDescent="0.3">
      <c r="A1065" s="185" t="s">
        <v>2507</v>
      </c>
      <c r="B1065" s="352" t="s">
        <v>1326</v>
      </c>
      <c r="C1065" s="187" t="s">
        <v>2076</v>
      </c>
      <c r="D1065" s="225" t="s">
        <v>3293</v>
      </c>
      <c r="E1065" s="190">
        <v>30</v>
      </c>
      <c r="F1065" s="227" t="s">
        <v>20</v>
      </c>
      <c r="G1065" s="233">
        <v>44391</v>
      </c>
      <c r="H1065" s="252">
        <v>408</v>
      </c>
      <c r="I1065" s="188">
        <v>430</v>
      </c>
      <c r="J1065" s="188">
        <f>+I1065*H1065</f>
        <v>175440</v>
      </c>
      <c r="K1065" s="232">
        <v>44393</v>
      </c>
      <c r="L1065" s="192"/>
      <c r="M1065" s="427">
        <v>44392</v>
      </c>
      <c r="N1065" s="427"/>
      <c r="O1065" s="427"/>
    </row>
    <row r="1066" spans="1:15" s="351" customFormat="1" ht="13.5" customHeight="1" x14ac:dyDescent="0.3">
      <c r="A1066" s="185" t="s">
        <v>2717</v>
      </c>
      <c r="B1066" s="352" t="s">
        <v>1293</v>
      </c>
      <c r="C1066" s="187" t="s">
        <v>2512</v>
      </c>
      <c r="D1066" s="225" t="s">
        <v>2994</v>
      </c>
      <c r="E1066" s="190">
        <v>90</v>
      </c>
      <c r="F1066" s="227" t="s">
        <v>20</v>
      </c>
      <c r="G1066" s="233">
        <v>44396</v>
      </c>
      <c r="H1066" s="252">
        <v>249.7</v>
      </c>
      <c r="I1066" s="188">
        <v>245</v>
      </c>
      <c r="J1066" s="188">
        <f>+I1066*H1066</f>
        <v>61176.5</v>
      </c>
      <c r="K1066" s="232">
        <v>44393</v>
      </c>
      <c r="L1066" s="192"/>
      <c r="M1066" s="427">
        <v>44392</v>
      </c>
      <c r="N1066" s="427"/>
      <c r="O1066" s="427"/>
    </row>
    <row r="1067" spans="1:15" s="351" customFormat="1" ht="13.5" customHeight="1" x14ac:dyDescent="0.3">
      <c r="A1067" s="185" t="s">
        <v>3191</v>
      </c>
      <c r="B1067" s="352" t="s">
        <v>1388</v>
      </c>
      <c r="C1067" s="187" t="s">
        <v>512</v>
      </c>
      <c r="D1067" s="225" t="s">
        <v>552</v>
      </c>
      <c r="E1067" s="190">
        <v>30</v>
      </c>
      <c r="F1067" s="227" t="s">
        <v>20</v>
      </c>
      <c r="G1067" s="233">
        <v>44395</v>
      </c>
      <c r="H1067" s="252">
        <v>2700</v>
      </c>
      <c r="I1067" s="188">
        <v>432</v>
      </c>
      <c r="J1067" s="188">
        <f>+I1067*H1067</f>
        <v>1166400</v>
      </c>
      <c r="K1067" s="232">
        <v>44397</v>
      </c>
      <c r="L1067" s="192"/>
      <c r="M1067" s="427">
        <v>44390</v>
      </c>
      <c r="N1067" s="427"/>
      <c r="O1067" s="427"/>
    </row>
    <row r="1068" spans="1:15" s="351" customFormat="1" ht="13.5" customHeight="1" x14ac:dyDescent="0.3">
      <c r="A1068" s="185" t="s">
        <v>2681</v>
      </c>
      <c r="B1068" s="352" t="s">
        <v>1325</v>
      </c>
      <c r="C1068" s="187" t="s">
        <v>928</v>
      </c>
      <c r="D1068" s="225" t="s">
        <v>2986</v>
      </c>
      <c r="E1068" s="190">
        <v>90</v>
      </c>
      <c r="F1068" s="227" t="s">
        <v>20</v>
      </c>
      <c r="G1068" s="233">
        <v>44398</v>
      </c>
      <c r="H1068" s="252">
        <v>168</v>
      </c>
      <c r="I1068" s="188">
        <v>1002</v>
      </c>
      <c r="J1068" s="188">
        <v>168336</v>
      </c>
      <c r="K1068" s="232">
        <v>44397</v>
      </c>
      <c r="L1068" s="192"/>
      <c r="M1068" s="427">
        <v>44392</v>
      </c>
      <c r="N1068" s="427"/>
      <c r="O1068" s="427"/>
    </row>
    <row r="1069" spans="1:15" s="351" customFormat="1" ht="13.5" customHeight="1" x14ac:dyDescent="0.3">
      <c r="A1069" s="185" t="s">
        <v>2684</v>
      </c>
      <c r="B1069" s="352" t="s">
        <v>1325</v>
      </c>
      <c r="C1069" s="187" t="s">
        <v>928</v>
      </c>
      <c r="D1069" s="225" t="s">
        <v>2988</v>
      </c>
      <c r="E1069" s="190">
        <v>90</v>
      </c>
      <c r="F1069" s="227" t="s">
        <v>20</v>
      </c>
      <c r="G1069" s="233">
        <v>44398</v>
      </c>
      <c r="H1069" s="252">
        <v>408</v>
      </c>
      <c r="I1069" s="188">
        <v>980</v>
      </c>
      <c r="J1069" s="188">
        <v>399840</v>
      </c>
      <c r="K1069" s="232">
        <v>44397</v>
      </c>
      <c r="L1069" s="192"/>
      <c r="M1069" s="427">
        <v>44392</v>
      </c>
      <c r="N1069" s="427"/>
      <c r="O1069" s="427"/>
    </row>
    <row r="1070" spans="1:15" s="351" customFormat="1" ht="13.5" customHeight="1" x14ac:dyDescent="0.3">
      <c r="A1070" s="185" t="s">
        <v>2991</v>
      </c>
      <c r="B1070" s="352" t="s">
        <v>502</v>
      </c>
      <c r="C1070" s="187" t="s">
        <v>1497</v>
      </c>
      <c r="D1070" s="225" t="s">
        <v>3179</v>
      </c>
      <c r="E1070" s="190">
        <v>90</v>
      </c>
      <c r="F1070" s="227" t="s">
        <v>20</v>
      </c>
      <c r="G1070" s="233">
        <v>44398</v>
      </c>
      <c r="H1070" s="252">
        <v>108</v>
      </c>
      <c r="I1070" s="188">
        <v>605</v>
      </c>
      <c r="J1070" s="188">
        <f t="shared" ref="J1070:J1080" si="37">+I1070*H1070</f>
        <v>65340</v>
      </c>
      <c r="K1070" s="232">
        <v>44397</v>
      </c>
      <c r="L1070" s="192"/>
      <c r="M1070" s="427">
        <v>44392</v>
      </c>
      <c r="N1070" s="427"/>
      <c r="O1070" s="427"/>
    </row>
    <row r="1071" spans="1:15" s="351" customFormat="1" ht="13.5" customHeight="1" x14ac:dyDescent="0.3">
      <c r="A1071" s="185" t="s">
        <v>2976</v>
      </c>
      <c r="B1071" s="352" t="s">
        <v>1595</v>
      </c>
      <c r="C1071" s="187" t="s">
        <v>494</v>
      </c>
      <c r="D1071" s="225" t="s">
        <v>552</v>
      </c>
      <c r="E1071" s="190" t="s">
        <v>5</v>
      </c>
      <c r="F1071" s="227"/>
      <c r="G1071" s="233">
        <v>44512</v>
      </c>
      <c r="H1071" s="252">
        <v>6135</v>
      </c>
      <c r="I1071" s="188">
        <v>216</v>
      </c>
      <c r="J1071" s="188">
        <v>1325160</v>
      </c>
      <c r="K1071" s="232">
        <v>44397</v>
      </c>
      <c r="L1071" s="192" t="s">
        <v>3422</v>
      </c>
      <c r="M1071" s="434"/>
      <c r="N1071" s="434"/>
      <c r="O1071" s="434"/>
    </row>
    <row r="1072" spans="1:15" s="351" customFormat="1" ht="13.5" customHeight="1" x14ac:dyDescent="0.3">
      <c r="A1072" s="185" t="s">
        <v>2977</v>
      </c>
      <c r="B1072" s="352" t="s">
        <v>1387</v>
      </c>
      <c r="C1072" s="187" t="s">
        <v>494</v>
      </c>
      <c r="D1072" s="225" t="s">
        <v>552</v>
      </c>
      <c r="E1072" s="190" t="s">
        <v>5</v>
      </c>
      <c r="F1072" s="227"/>
      <c r="G1072" s="233">
        <v>44512</v>
      </c>
      <c r="H1072" s="252">
        <v>5000</v>
      </c>
      <c r="I1072" s="188">
        <v>597</v>
      </c>
      <c r="J1072" s="188">
        <v>2985000</v>
      </c>
      <c r="K1072" s="232">
        <v>44397</v>
      </c>
      <c r="L1072" s="192" t="s">
        <v>3422</v>
      </c>
      <c r="M1072" s="434"/>
      <c r="N1072" s="434"/>
      <c r="O1072" s="434"/>
    </row>
    <row r="1073" spans="1:15" s="351" customFormat="1" ht="13.5" customHeight="1" x14ac:dyDescent="0.3">
      <c r="A1073" s="185" t="s">
        <v>2978</v>
      </c>
      <c r="B1073" s="352" t="s">
        <v>1328</v>
      </c>
      <c r="C1073" s="187" t="s">
        <v>494</v>
      </c>
      <c r="D1073" s="225" t="s">
        <v>552</v>
      </c>
      <c r="E1073" s="190" t="s">
        <v>5</v>
      </c>
      <c r="F1073" s="227"/>
      <c r="G1073" s="233">
        <v>44512</v>
      </c>
      <c r="H1073" s="252">
        <v>5500</v>
      </c>
      <c r="I1073" s="188">
        <v>534</v>
      </c>
      <c r="J1073" s="188">
        <v>2937000</v>
      </c>
      <c r="K1073" s="232">
        <v>44397</v>
      </c>
      <c r="L1073" s="192" t="s">
        <v>3422</v>
      </c>
      <c r="M1073" s="434"/>
      <c r="N1073" s="434"/>
      <c r="O1073" s="434"/>
    </row>
    <row r="1074" spans="1:15" s="351" customFormat="1" ht="13.5" customHeight="1" x14ac:dyDescent="0.25">
      <c r="A1074" s="185" t="s">
        <v>3292</v>
      </c>
      <c r="B1074" s="352" t="s">
        <v>1274</v>
      </c>
      <c r="C1074" s="187" t="s">
        <v>494</v>
      </c>
      <c r="D1074" s="225" t="s">
        <v>552</v>
      </c>
      <c r="E1074" s="190" t="s">
        <v>5</v>
      </c>
      <c r="F1074" s="227"/>
      <c r="G1074" s="233">
        <v>44542</v>
      </c>
      <c r="H1074" s="252">
        <v>1100.8</v>
      </c>
      <c r="I1074" s="188">
        <v>500</v>
      </c>
      <c r="J1074" s="188">
        <v>550400</v>
      </c>
      <c r="K1074" s="232">
        <v>44397</v>
      </c>
      <c r="L1074" s="192" t="s">
        <v>3422</v>
      </c>
      <c r="M1074" s="434"/>
      <c r="N1074" s="434"/>
      <c r="O1074" s="434"/>
    </row>
    <row r="1075" spans="1:15" s="351" customFormat="1" ht="13.5" customHeight="1" x14ac:dyDescent="0.3">
      <c r="A1075" s="185" t="s">
        <v>3157</v>
      </c>
      <c r="B1075" s="352" t="s">
        <v>1649</v>
      </c>
      <c r="C1075" s="187" t="s">
        <v>331</v>
      </c>
      <c r="D1075" s="225" t="s">
        <v>3291</v>
      </c>
      <c r="E1075" s="190">
        <v>30</v>
      </c>
      <c r="F1075" s="227" t="s">
        <v>45</v>
      </c>
      <c r="G1075" s="233">
        <v>44402</v>
      </c>
      <c r="H1075" s="252">
        <v>81</v>
      </c>
      <c r="I1075" s="188">
        <v>249</v>
      </c>
      <c r="J1075" s="188">
        <f t="shared" si="37"/>
        <v>20169</v>
      </c>
      <c r="K1075" s="232">
        <v>44403</v>
      </c>
      <c r="L1075" s="192"/>
      <c r="M1075" s="429">
        <v>44382</v>
      </c>
      <c r="N1075" s="429"/>
      <c r="O1075" s="429"/>
    </row>
    <row r="1076" spans="1:15" s="351" customFormat="1" ht="13.5" customHeight="1" x14ac:dyDescent="0.3">
      <c r="A1076" s="185" t="s">
        <v>3264</v>
      </c>
      <c r="B1076" s="352" t="s">
        <v>1649</v>
      </c>
      <c r="C1076" s="187" t="s">
        <v>331</v>
      </c>
      <c r="D1076" s="225" t="s">
        <v>3274</v>
      </c>
      <c r="E1076" s="190">
        <v>30</v>
      </c>
      <c r="F1076" s="227" t="s">
        <v>45</v>
      </c>
      <c r="G1076" s="233">
        <v>44401</v>
      </c>
      <c r="H1076" s="252">
        <v>486</v>
      </c>
      <c r="I1076" s="188">
        <v>249</v>
      </c>
      <c r="J1076" s="188">
        <f t="shared" si="37"/>
        <v>121014</v>
      </c>
      <c r="K1076" s="232">
        <v>44403</v>
      </c>
      <c r="L1076" s="192"/>
      <c r="M1076" s="429">
        <v>44392</v>
      </c>
      <c r="N1076" s="429"/>
      <c r="O1076" s="429"/>
    </row>
    <row r="1077" spans="1:15" s="351" customFormat="1" ht="13.5" customHeight="1" x14ac:dyDescent="0.3">
      <c r="A1077" s="185" t="s">
        <v>3265</v>
      </c>
      <c r="B1077" s="352" t="s">
        <v>1649</v>
      </c>
      <c r="C1077" s="187" t="s">
        <v>331</v>
      </c>
      <c r="D1077" s="225" t="s">
        <v>3274</v>
      </c>
      <c r="E1077" s="190">
        <v>30</v>
      </c>
      <c r="F1077" s="227" t="s">
        <v>45</v>
      </c>
      <c r="G1077" s="233">
        <v>44407</v>
      </c>
      <c r="H1077" s="252">
        <v>378</v>
      </c>
      <c r="I1077" s="188">
        <v>249</v>
      </c>
      <c r="J1077" s="188">
        <f t="shared" si="37"/>
        <v>94122</v>
      </c>
      <c r="K1077" s="232">
        <v>44403</v>
      </c>
      <c r="L1077" s="192"/>
      <c r="M1077" s="429">
        <v>44392</v>
      </c>
      <c r="N1077" s="429"/>
      <c r="O1077" s="429"/>
    </row>
    <row r="1078" spans="1:15" s="351" customFormat="1" ht="13.5" customHeight="1" x14ac:dyDescent="0.3">
      <c r="A1078" s="185" t="s">
        <v>2712</v>
      </c>
      <c r="B1078" s="352" t="s">
        <v>1999</v>
      </c>
      <c r="C1078" s="187" t="s">
        <v>2727</v>
      </c>
      <c r="D1078" s="225" t="s">
        <v>3011</v>
      </c>
      <c r="E1078" s="190">
        <v>90</v>
      </c>
      <c r="F1078" s="227" t="s">
        <v>20</v>
      </c>
      <c r="G1078" s="233">
        <v>44404</v>
      </c>
      <c r="H1078" s="252">
        <v>57.5</v>
      </c>
      <c r="I1078" s="188">
        <v>113</v>
      </c>
      <c r="J1078" s="188">
        <f t="shared" si="37"/>
        <v>6497.5</v>
      </c>
      <c r="K1078" s="232">
        <v>44403</v>
      </c>
      <c r="L1078" s="192"/>
      <c r="M1078" s="429">
        <v>44392</v>
      </c>
      <c r="N1078" s="429"/>
      <c r="O1078" s="429"/>
    </row>
    <row r="1079" spans="1:15" s="351" customFormat="1" ht="13.5" customHeight="1" x14ac:dyDescent="0.3">
      <c r="A1079" s="185" t="s">
        <v>2725</v>
      </c>
      <c r="B1079" s="352" t="s">
        <v>1292</v>
      </c>
      <c r="C1079" s="187" t="s">
        <v>280</v>
      </c>
      <c r="D1079" s="225" t="s">
        <v>3013</v>
      </c>
      <c r="E1079" s="190">
        <v>90</v>
      </c>
      <c r="F1079" s="227" t="s">
        <v>20</v>
      </c>
      <c r="G1079" s="233">
        <v>44400</v>
      </c>
      <c r="H1079" s="252">
        <v>400</v>
      </c>
      <c r="I1079" s="188">
        <v>112</v>
      </c>
      <c r="J1079" s="188">
        <f t="shared" si="37"/>
        <v>44800</v>
      </c>
      <c r="K1079" s="232">
        <v>44403</v>
      </c>
      <c r="L1079" s="192"/>
      <c r="M1079" s="429">
        <v>44392</v>
      </c>
      <c r="N1079" s="429"/>
      <c r="O1079" s="429"/>
    </row>
    <row r="1080" spans="1:15" s="351" customFormat="1" ht="13.5" customHeight="1" x14ac:dyDescent="0.3">
      <c r="A1080" s="185" t="s">
        <v>3165</v>
      </c>
      <c r="B1080" s="352" t="s">
        <v>1782</v>
      </c>
      <c r="C1080" s="187" t="s">
        <v>331</v>
      </c>
      <c r="D1080" s="225" t="s">
        <v>3324</v>
      </c>
      <c r="E1080" s="190" t="s">
        <v>5</v>
      </c>
      <c r="F1080" s="227"/>
      <c r="G1080" s="233">
        <v>44404</v>
      </c>
      <c r="H1080" s="252">
        <v>704</v>
      </c>
      <c r="I1080" s="188">
        <v>575</v>
      </c>
      <c r="J1080" s="188">
        <f t="shared" si="37"/>
        <v>404800</v>
      </c>
      <c r="K1080" s="232">
        <v>44407</v>
      </c>
      <c r="L1080" s="192"/>
      <c r="M1080" s="429">
        <v>44403</v>
      </c>
      <c r="N1080" s="429"/>
      <c r="O1080" s="429"/>
    </row>
    <row r="1081" spans="1:15" s="351" customFormat="1" ht="13.5" customHeight="1" x14ac:dyDescent="0.3">
      <c r="A1081" s="185" t="s">
        <v>3271</v>
      </c>
      <c r="B1081" s="352" t="s">
        <v>1649</v>
      </c>
      <c r="C1081" s="187" t="s">
        <v>331</v>
      </c>
      <c r="D1081" s="225" t="s">
        <v>3325</v>
      </c>
      <c r="E1081" s="190">
        <v>30</v>
      </c>
      <c r="F1081" s="227" t="s">
        <v>45</v>
      </c>
      <c r="G1081" s="233">
        <v>44410</v>
      </c>
      <c r="H1081" s="252">
        <v>81</v>
      </c>
      <c r="I1081" s="188">
        <v>249</v>
      </c>
      <c r="J1081" s="188">
        <f>+I1081*H1081</f>
        <v>20169</v>
      </c>
      <c r="K1081" s="232">
        <v>44410</v>
      </c>
      <c r="L1081" s="192"/>
      <c r="M1081" s="430">
        <v>44403</v>
      </c>
      <c r="N1081" s="430"/>
      <c r="O1081" s="430"/>
    </row>
    <row r="1082" spans="1:15" s="351" customFormat="1" ht="13.5" customHeight="1" x14ac:dyDescent="0.3">
      <c r="A1082" s="185" t="s">
        <v>3162</v>
      </c>
      <c r="B1082" s="352" t="s">
        <v>3169</v>
      </c>
      <c r="C1082" s="187" t="s">
        <v>331</v>
      </c>
      <c r="D1082" s="225" t="s">
        <v>3345</v>
      </c>
      <c r="E1082" s="190" t="s">
        <v>5</v>
      </c>
      <c r="F1082" s="227"/>
      <c r="G1082" s="233">
        <v>44404</v>
      </c>
      <c r="H1082" s="252">
        <v>264</v>
      </c>
      <c r="I1082" s="188">
        <v>550</v>
      </c>
      <c r="J1082" s="188">
        <f>+I1082*H1082</f>
        <v>145200</v>
      </c>
      <c r="K1082" s="232">
        <v>44410</v>
      </c>
      <c r="L1082" s="192"/>
      <c r="M1082" s="430"/>
      <c r="N1082" s="430"/>
      <c r="O1082" s="430"/>
    </row>
    <row r="1083" spans="1:15" s="351" customFormat="1" ht="13.5" customHeight="1" x14ac:dyDescent="0.25">
      <c r="A1083" s="185" t="s">
        <v>2509</v>
      </c>
      <c r="B1083" s="352" t="s">
        <v>1293</v>
      </c>
      <c r="C1083" s="187" t="s">
        <v>2512</v>
      </c>
      <c r="D1083" s="225" t="s">
        <v>3283</v>
      </c>
      <c r="E1083" s="190" t="s">
        <v>5</v>
      </c>
      <c r="F1083" s="227"/>
      <c r="G1083" s="233">
        <v>44404</v>
      </c>
      <c r="H1083" s="252">
        <v>100</v>
      </c>
      <c r="I1083" s="188">
        <v>245</v>
      </c>
      <c r="J1083" s="188">
        <f>+I1083*H1083</f>
        <v>24500</v>
      </c>
      <c r="K1083" s="232">
        <v>44411</v>
      </c>
      <c r="L1083" s="192"/>
      <c r="M1083" s="430">
        <v>44404</v>
      </c>
      <c r="N1083" s="430"/>
      <c r="O1083" s="430"/>
    </row>
    <row r="1084" spans="1:15" s="351" customFormat="1" ht="13.5" customHeight="1" x14ac:dyDescent="0.3">
      <c r="A1084" s="185" t="s">
        <v>2714</v>
      </c>
      <c r="B1084" s="352" t="s">
        <v>1325</v>
      </c>
      <c r="C1084" s="187" t="s">
        <v>928</v>
      </c>
      <c r="D1084" s="225" t="s">
        <v>3012</v>
      </c>
      <c r="E1084" s="190">
        <v>90</v>
      </c>
      <c r="F1084" s="227" t="s">
        <v>20</v>
      </c>
      <c r="G1084" s="233">
        <v>44406</v>
      </c>
      <c r="H1084" s="252">
        <v>48</v>
      </c>
      <c r="I1084" s="188">
        <v>1002</v>
      </c>
      <c r="J1084" s="188">
        <f>+I1084*H1084</f>
        <v>48096</v>
      </c>
      <c r="K1084" s="232">
        <v>44411</v>
      </c>
      <c r="L1084" s="192"/>
      <c r="M1084" s="430">
        <v>44392</v>
      </c>
      <c r="N1084" s="430"/>
      <c r="O1084" s="430"/>
    </row>
    <row r="1085" spans="1:15" s="351" customFormat="1" ht="13.5" customHeight="1" x14ac:dyDescent="0.3">
      <c r="A1085" s="185" t="s">
        <v>2982</v>
      </c>
      <c r="B1085" s="352" t="s">
        <v>1523</v>
      </c>
      <c r="C1085" s="187" t="s">
        <v>331</v>
      </c>
      <c r="D1085" s="225" t="s">
        <v>552</v>
      </c>
      <c r="E1085" s="190">
        <v>60</v>
      </c>
      <c r="F1085" s="227" t="s">
        <v>2099</v>
      </c>
      <c r="G1085" s="233">
        <v>44413</v>
      </c>
      <c r="H1085" s="252">
        <v>3303</v>
      </c>
      <c r="I1085" s="188">
        <v>476.1</v>
      </c>
      <c r="J1085" s="188">
        <f>+I1085*H1085*0.2</f>
        <v>314511.66000000003</v>
      </c>
      <c r="K1085" s="232">
        <v>44413</v>
      </c>
      <c r="L1085" s="192">
        <v>0.2</v>
      </c>
      <c r="M1085" s="430">
        <v>44350</v>
      </c>
      <c r="N1085" s="430"/>
      <c r="O1085" s="430"/>
    </row>
    <row r="1086" spans="1:15" s="351" customFormat="1" ht="13.5" customHeight="1" x14ac:dyDescent="0.3">
      <c r="A1086" s="185" t="s">
        <v>2983</v>
      </c>
      <c r="B1086" s="352" t="s">
        <v>1525</v>
      </c>
      <c r="C1086" s="187" t="s">
        <v>331</v>
      </c>
      <c r="D1086" s="225" t="s">
        <v>552</v>
      </c>
      <c r="E1086" s="190">
        <v>60</v>
      </c>
      <c r="F1086" s="227" t="s">
        <v>2099</v>
      </c>
      <c r="G1086" s="233">
        <v>44413</v>
      </c>
      <c r="H1086" s="252">
        <v>6002</v>
      </c>
      <c r="I1086" s="188">
        <v>624.9</v>
      </c>
      <c r="J1086" s="188">
        <f>+I1086*H1086*0.2</f>
        <v>750129.96</v>
      </c>
      <c r="K1086" s="232">
        <v>44413</v>
      </c>
      <c r="L1086" s="192">
        <v>0.2</v>
      </c>
      <c r="M1086" s="430">
        <v>44350</v>
      </c>
      <c r="N1086" s="430"/>
      <c r="O1086" s="430"/>
    </row>
    <row r="1087" spans="1:15" s="351" customFormat="1" ht="13.5" customHeight="1" x14ac:dyDescent="0.25">
      <c r="A1087" s="185" t="s">
        <v>2718</v>
      </c>
      <c r="B1087" s="352" t="s">
        <v>1293</v>
      </c>
      <c r="C1087" s="187" t="s">
        <v>2512</v>
      </c>
      <c r="D1087" s="225" t="s">
        <v>3355</v>
      </c>
      <c r="E1087" s="190" t="s">
        <v>5</v>
      </c>
      <c r="F1087" s="227"/>
      <c r="G1087" s="233">
        <v>44417</v>
      </c>
      <c r="H1087" s="252">
        <v>100</v>
      </c>
      <c r="I1087" s="188">
        <v>255</v>
      </c>
      <c r="J1087" s="188">
        <f t="shared" ref="J1087:J1098" si="38">+I1087*H1087</f>
        <v>25500</v>
      </c>
      <c r="K1087" s="232">
        <v>44417</v>
      </c>
      <c r="L1087" s="192"/>
      <c r="M1087" s="432">
        <v>44412</v>
      </c>
      <c r="N1087" s="432"/>
      <c r="O1087" s="432"/>
    </row>
    <row r="1088" spans="1:15" s="351" customFormat="1" ht="13.5" customHeight="1" x14ac:dyDescent="0.3">
      <c r="A1088" s="185" t="s">
        <v>2726</v>
      </c>
      <c r="B1088" s="352" t="s">
        <v>2728</v>
      </c>
      <c r="C1088" s="187" t="s">
        <v>2374</v>
      </c>
      <c r="D1088" s="225" t="s">
        <v>2995</v>
      </c>
      <c r="E1088" s="190">
        <v>120</v>
      </c>
      <c r="F1088" s="227" t="s">
        <v>20</v>
      </c>
      <c r="G1088" s="233">
        <v>44412</v>
      </c>
      <c r="H1088" s="252">
        <v>23.1</v>
      </c>
      <c r="I1088" s="188">
        <v>715</v>
      </c>
      <c r="J1088" s="188">
        <f t="shared" si="38"/>
        <v>16516.5</v>
      </c>
      <c r="K1088" s="232">
        <v>44417</v>
      </c>
      <c r="L1088" s="192"/>
      <c r="M1088" s="432">
        <v>44403</v>
      </c>
      <c r="N1088" s="432"/>
      <c r="O1088" s="432"/>
    </row>
    <row r="1089" spans="1:15" s="351" customFormat="1" ht="13.5" customHeight="1" x14ac:dyDescent="0.25">
      <c r="A1089" s="185" t="s">
        <v>3146</v>
      </c>
      <c r="B1089" s="352" t="s">
        <v>1687</v>
      </c>
      <c r="C1089" s="187" t="s">
        <v>1485</v>
      </c>
      <c r="D1089" s="225" t="s">
        <v>3361</v>
      </c>
      <c r="E1089" s="190" t="s">
        <v>5</v>
      </c>
      <c r="F1089" s="227"/>
      <c r="G1089" s="233">
        <v>44414</v>
      </c>
      <c r="H1089" s="252">
        <v>100</v>
      </c>
      <c r="I1089" s="188">
        <v>1274</v>
      </c>
      <c r="J1089" s="188">
        <f t="shared" si="38"/>
        <v>127400</v>
      </c>
      <c r="K1089" s="232">
        <v>44417</v>
      </c>
      <c r="L1089" s="192"/>
      <c r="M1089" s="432">
        <v>44414</v>
      </c>
      <c r="N1089" s="432"/>
      <c r="O1089" s="432"/>
    </row>
    <row r="1090" spans="1:15" s="351" customFormat="1" ht="13.5" customHeight="1" x14ac:dyDescent="0.3">
      <c r="A1090" s="185" t="s">
        <v>3268</v>
      </c>
      <c r="B1090" s="352" t="s">
        <v>1649</v>
      </c>
      <c r="C1090" s="187" t="s">
        <v>331</v>
      </c>
      <c r="D1090" s="225" t="s">
        <v>3350</v>
      </c>
      <c r="E1090" s="190">
        <v>30</v>
      </c>
      <c r="F1090" s="227" t="s">
        <v>45</v>
      </c>
      <c r="G1090" s="233">
        <v>44421</v>
      </c>
      <c r="H1090" s="252">
        <v>648</v>
      </c>
      <c r="I1090" s="188">
        <v>269</v>
      </c>
      <c r="J1090" s="188">
        <f t="shared" si="38"/>
        <v>174312</v>
      </c>
      <c r="K1090" s="232">
        <v>44419</v>
      </c>
      <c r="L1090" s="192"/>
      <c r="M1090" s="432"/>
      <c r="N1090" s="432"/>
      <c r="O1090" s="432"/>
    </row>
    <row r="1091" spans="1:15" s="351" customFormat="1" ht="13.5" customHeight="1" x14ac:dyDescent="0.25">
      <c r="A1091" s="185" t="s">
        <v>3168</v>
      </c>
      <c r="B1091" s="352" t="s">
        <v>653</v>
      </c>
      <c r="C1091" s="187" t="s">
        <v>1497</v>
      </c>
      <c r="D1091" s="225" t="s">
        <v>3384</v>
      </c>
      <c r="E1091" s="190" t="s">
        <v>5</v>
      </c>
      <c r="F1091" s="227"/>
      <c r="G1091" s="233">
        <v>44418</v>
      </c>
      <c r="H1091" s="252">
        <v>216</v>
      </c>
      <c r="I1091" s="188">
        <v>658</v>
      </c>
      <c r="J1091" s="188">
        <f t="shared" si="38"/>
        <v>142128</v>
      </c>
      <c r="K1091" s="232">
        <v>44424</v>
      </c>
      <c r="L1091" s="192"/>
      <c r="M1091" s="434">
        <v>44420</v>
      </c>
      <c r="N1091" s="434"/>
      <c r="O1091" s="434"/>
    </row>
    <row r="1092" spans="1:15" s="351" customFormat="1" ht="13.5" customHeight="1" x14ac:dyDescent="0.3">
      <c r="A1092" s="185" t="s">
        <v>3001</v>
      </c>
      <c r="B1092" s="352" t="s">
        <v>3002</v>
      </c>
      <c r="C1092" s="187" t="s">
        <v>331</v>
      </c>
      <c r="D1092" s="225" t="s">
        <v>3398</v>
      </c>
      <c r="E1092" s="190" t="s">
        <v>5</v>
      </c>
      <c r="F1092" s="227"/>
      <c r="G1092" s="233">
        <v>44418</v>
      </c>
      <c r="H1092" s="252">
        <v>16</v>
      </c>
      <c r="I1092" s="188">
        <v>5500</v>
      </c>
      <c r="J1092" s="188">
        <f t="shared" si="38"/>
        <v>88000</v>
      </c>
      <c r="K1092" s="232">
        <v>44424</v>
      </c>
      <c r="L1092" s="192"/>
      <c r="M1092" s="434">
        <v>44424</v>
      </c>
      <c r="N1092" s="434"/>
      <c r="O1092" s="434"/>
    </row>
    <row r="1093" spans="1:15" s="351" customFormat="1" ht="13.5" customHeight="1" x14ac:dyDescent="0.25">
      <c r="A1093" s="185" t="s">
        <v>3197</v>
      </c>
      <c r="B1093" s="352" t="s">
        <v>1601</v>
      </c>
      <c r="C1093" s="187" t="s">
        <v>42</v>
      </c>
      <c r="D1093" s="225" t="s">
        <v>3403</v>
      </c>
      <c r="E1093" s="190" t="s">
        <v>5</v>
      </c>
      <c r="F1093" s="227"/>
      <c r="G1093" s="233">
        <v>44424</v>
      </c>
      <c r="H1093" s="252">
        <v>179.87</v>
      </c>
      <c r="I1093" s="188">
        <v>237</v>
      </c>
      <c r="J1093" s="188">
        <f t="shared" si="38"/>
        <v>42629.19</v>
      </c>
      <c r="K1093" s="232">
        <v>44416</v>
      </c>
      <c r="L1093" s="192"/>
      <c r="M1093" s="434">
        <v>44424</v>
      </c>
      <c r="N1093" s="434"/>
      <c r="O1093" s="434"/>
    </row>
    <row r="1094" spans="1:15" s="351" customFormat="1" ht="13.5" customHeight="1" x14ac:dyDescent="0.25">
      <c r="A1094" s="185" t="s">
        <v>3198</v>
      </c>
      <c r="B1094" s="352" t="s">
        <v>1601</v>
      </c>
      <c r="C1094" s="187" t="s">
        <v>42</v>
      </c>
      <c r="D1094" s="225" t="s">
        <v>3404</v>
      </c>
      <c r="E1094" s="190" t="s">
        <v>5</v>
      </c>
      <c r="F1094" s="227"/>
      <c r="G1094" s="233">
        <v>44421</v>
      </c>
      <c r="H1094" s="252">
        <v>219.94</v>
      </c>
      <c r="I1094" s="188">
        <v>228</v>
      </c>
      <c r="J1094" s="188">
        <f t="shared" si="38"/>
        <v>50146.32</v>
      </c>
      <c r="K1094" s="232">
        <v>44416</v>
      </c>
      <c r="L1094" s="192"/>
      <c r="M1094" s="434">
        <v>44424</v>
      </c>
      <c r="N1094" s="434"/>
      <c r="O1094" s="434"/>
    </row>
    <row r="1095" spans="1:15" s="351" customFormat="1" ht="13.5" customHeight="1" x14ac:dyDescent="0.3">
      <c r="A1095" s="185" t="s">
        <v>3393</v>
      </c>
      <c r="B1095" s="352" t="s">
        <v>1649</v>
      </c>
      <c r="C1095" s="187" t="s">
        <v>331</v>
      </c>
      <c r="D1095" s="225" t="s">
        <v>3396</v>
      </c>
      <c r="E1095" s="190">
        <v>30</v>
      </c>
      <c r="F1095" s="227" t="s">
        <v>45</v>
      </c>
      <c r="G1095" s="233">
        <v>44442</v>
      </c>
      <c r="H1095" s="252">
        <v>135</v>
      </c>
      <c r="I1095" s="188">
        <v>269</v>
      </c>
      <c r="J1095" s="188">
        <f>+I1095*H1095</f>
        <v>36315</v>
      </c>
      <c r="K1095" s="232">
        <v>44420</v>
      </c>
      <c r="L1095" s="192"/>
      <c r="M1095" s="445">
        <v>44419</v>
      </c>
      <c r="N1095" s="445"/>
      <c r="O1095" s="445"/>
    </row>
    <row r="1096" spans="1:15" s="351" customFormat="1" ht="13.5" customHeight="1" x14ac:dyDescent="0.3">
      <c r="A1096" s="185" t="s">
        <v>3394</v>
      </c>
      <c r="B1096" s="352" t="s">
        <v>1649</v>
      </c>
      <c r="C1096" s="187" t="s">
        <v>331</v>
      </c>
      <c r="D1096" s="225" t="s">
        <v>3397</v>
      </c>
      <c r="E1096" s="190">
        <v>30</v>
      </c>
      <c r="F1096" s="227" t="s">
        <v>45</v>
      </c>
      <c r="G1096" s="233">
        <v>44440</v>
      </c>
      <c r="H1096" s="252">
        <v>297</v>
      </c>
      <c r="I1096" s="188">
        <v>269</v>
      </c>
      <c r="J1096" s="188">
        <f>+I1096*H1096</f>
        <v>79893</v>
      </c>
      <c r="K1096" s="232">
        <v>44420</v>
      </c>
      <c r="L1096" s="192"/>
      <c r="M1096" s="445">
        <v>44419</v>
      </c>
      <c r="N1096" s="445"/>
      <c r="O1096" s="445"/>
    </row>
    <row r="1097" spans="1:15" s="351" customFormat="1" ht="13.5" customHeight="1" x14ac:dyDescent="0.3">
      <c r="A1097" s="185" t="s">
        <v>3194</v>
      </c>
      <c r="B1097" s="352" t="s">
        <v>1600</v>
      </c>
      <c r="C1097" s="187" t="s">
        <v>2374</v>
      </c>
      <c r="D1097" s="225" t="s">
        <v>2989</v>
      </c>
      <c r="E1097" s="190">
        <v>120</v>
      </c>
      <c r="F1097" s="227" t="s">
        <v>20</v>
      </c>
      <c r="G1097" s="233">
        <v>44427</v>
      </c>
      <c r="H1097" s="252">
        <v>56.022181818181799</v>
      </c>
      <c r="I1097" s="188">
        <v>470</v>
      </c>
      <c r="J1097" s="188">
        <f t="shared" si="38"/>
        <v>26330.425454545446</v>
      </c>
      <c r="K1097" s="232">
        <v>44424</v>
      </c>
      <c r="L1097" s="192"/>
      <c r="M1097" s="434">
        <v>44424</v>
      </c>
      <c r="N1097" s="434"/>
      <c r="O1097" s="434"/>
    </row>
    <row r="1098" spans="1:15" s="351" customFormat="1" ht="13.5" customHeight="1" x14ac:dyDescent="0.3">
      <c r="A1098" s="185" t="s">
        <v>3195</v>
      </c>
      <c r="B1098" s="352" t="s">
        <v>1600</v>
      </c>
      <c r="C1098" s="187" t="s">
        <v>2374</v>
      </c>
      <c r="D1098" s="225" t="s">
        <v>2989</v>
      </c>
      <c r="E1098" s="190">
        <v>120</v>
      </c>
      <c r="F1098" s="227" t="s">
        <v>20</v>
      </c>
      <c r="G1098" s="233">
        <v>44427</v>
      </c>
      <c r="H1098" s="252">
        <v>252.09981818181819</v>
      </c>
      <c r="I1098" s="188">
        <v>470</v>
      </c>
      <c r="J1098" s="188">
        <f t="shared" si="38"/>
        <v>118486.91454545455</v>
      </c>
      <c r="K1098" s="232">
        <v>44424</v>
      </c>
      <c r="L1098" s="192"/>
      <c r="M1098" s="434">
        <v>44424</v>
      </c>
      <c r="N1098" s="434"/>
      <c r="O1098" s="434"/>
    </row>
    <row r="1099" spans="1:15" s="351" customFormat="1" ht="13.5" customHeight="1" x14ac:dyDescent="0.3">
      <c r="A1099" s="185" t="s">
        <v>3405</v>
      </c>
      <c r="B1099" s="352" t="s">
        <v>1325</v>
      </c>
      <c r="C1099" s="187" t="s">
        <v>3273</v>
      </c>
      <c r="D1099" s="225" t="s">
        <v>3407</v>
      </c>
      <c r="E1099" s="190" t="s">
        <v>5</v>
      </c>
      <c r="F1099" s="227"/>
      <c r="G1099" s="233">
        <v>44425</v>
      </c>
      <c r="H1099" s="252">
        <v>133</v>
      </c>
      <c r="I1099" s="188">
        <v>1497</v>
      </c>
      <c r="J1099" s="188">
        <v>199101</v>
      </c>
      <c r="K1099" s="232">
        <v>44425</v>
      </c>
      <c r="L1099" s="192"/>
      <c r="M1099" s="434">
        <v>44424</v>
      </c>
      <c r="N1099" s="434"/>
      <c r="O1099" s="434"/>
    </row>
    <row r="1100" spans="1:15" s="351" customFormat="1" ht="13.5" customHeight="1" x14ac:dyDescent="0.3">
      <c r="A1100" s="185" t="s">
        <v>3406</v>
      </c>
      <c r="B1100" s="352" t="s">
        <v>1325</v>
      </c>
      <c r="C1100" s="187" t="s">
        <v>3273</v>
      </c>
      <c r="D1100" s="225" t="s">
        <v>3408</v>
      </c>
      <c r="E1100" s="190" t="s">
        <v>5</v>
      </c>
      <c r="F1100" s="227"/>
      <c r="G1100" s="233">
        <v>44425</v>
      </c>
      <c r="H1100" s="252">
        <v>133</v>
      </c>
      <c r="I1100" s="188">
        <v>1497</v>
      </c>
      <c r="J1100" s="188">
        <v>199101</v>
      </c>
      <c r="K1100" s="232">
        <v>44425</v>
      </c>
      <c r="L1100" s="192"/>
      <c r="M1100" s="434">
        <v>44424</v>
      </c>
      <c r="N1100" s="434"/>
      <c r="O1100" s="434"/>
    </row>
    <row r="1101" spans="1:15" s="351" customFormat="1" ht="13.5" customHeight="1" x14ac:dyDescent="0.25">
      <c r="A1101" s="185" t="s">
        <v>2979</v>
      </c>
      <c r="B1101" s="352" t="s">
        <v>1386</v>
      </c>
      <c r="C1101" s="187" t="s">
        <v>494</v>
      </c>
      <c r="D1101" s="225" t="s">
        <v>552</v>
      </c>
      <c r="E1101" s="190" t="s">
        <v>5</v>
      </c>
      <c r="F1101" s="227"/>
      <c r="G1101" s="233">
        <v>44512</v>
      </c>
      <c r="H1101" s="252">
        <v>3610</v>
      </c>
      <c r="I1101" s="188">
        <v>397</v>
      </c>
      <c r="J1101" s="188">
        <v>1433170</v>
      </c>
      <c r="K1101" s="232">
        <v>44428</v>
      </c>
      <c r="L1101" s="192" t="s">
        <v>3422</v>
      </c>
      <c r="M1101" s="434"/>
      <c r="N1101" s="434"/>
      <c r="O1101" s="434"/>
    </row>
    <row r="1102" spans="1:15" s="351" customFormat="1" ht="13.5" customHeight="1" x14ac:dyDescent="0.25">
      <c r="A1102" s="185" t="s">
        <v>2980</v>
      </c>
      <c r="B1102" s="352" t="s">
        <v>1349</v>
      </c>
      <c r="C1102" s="187" t="s">
        <v>494</v>
      </c>
      <c r="D1102" s="225" t="s">
        <v>552</v>
      </c>
      <c r="E1102" s="190" t="s">
        <v>5</v>
      </c>
      <c r="F1102" s="227"/>
      <c r="G1102" s="233">
        <v>44512</v>
      </c>
      <c r="H1102" s="252">
        <v>5400</v>
      </c>
      <c r="I1102" s="188">
        <v>395</v>
      </c>
      <c r="J1102" s="188">
        <v>2133000</v>
      </c>
      <c r="K1102" s="232">
        <v>44428</v>
      </c>
      <c r="L1102" s="192" t="s">
        <v>3422</v>
      </c>
      <c r="M1102" s="434"/>
      <c r="N1102" s="434"/>
      <c r="O1102" s="434"/>
    </row>
    <row r="1103" spans="1:15" s="351" customFormat="1" ht="13.5" customHeight="1" x14ac:dyDescent="0.3">
      <c r="A1103" s="185" t="s">
        <v>3346</v>
      </c>
      <c r="B1103" s="352" t="s">
        <v>1649</v>
      </c>
      <c r="C1103" s="187" t="s">
        <v>331</v>
      </c>
      <c r="D1103" s="225" t="s">
        <v>3348</v>
      </c>
      <c r="E1103" s="190">
        <v>30</v>
      </c>
      <c r="F1103" s="227" t="s">
        <v>45</v>
      </c>
      <c r="G1103" s="233">
        <v>44431</v>
      </c>
      <c r="H1103" s="252">
        <v>405</v>
      </c>
      <c r="I1103" s="188">
        <v>269</v>
      </c>
      <c r="J1103" s="188">
        <f>+I1103*H1103</f>
        <v>108945</v>
      </c>
      <c r="K1103" s="232">
        <v>44431</v>
      </c>
      <c r="L1103" s="192"/>
      <c r="M1103" s="442">
        <v>44424</v>
      </c>
      <c r="N1103" s="442"/>
      <c r="O1103" s="442"/>
    </row>
    <row r="1104" spans="1:15" s="351" customFormat="1" ht="13.5" customHeight="1" x14ac:dyDescent="0.3">
      <c r="A1104" s="185" t="s">
        <v>3347</v>
      </c>
      <c r="B1104" s="352" t="s">
        <v>1649</v>
      </c>
      <c r="C1104" s="187" t="s">
        <v>331</v>
      </c>
      <c r="D1104" s="225" t="s">
        <v>3349</v>
      </c>
      <c r="E1104" s="190">
        <v>30</v>
      </c>
      <c r="F1104" s="227" t="s">
        <v>45</v>
      </c>
      <c r="G1104" s="233">
        <v>44435</v>
      </c>
      <c r="H1104" s="252">
        <v>162</v>
      </c>
      <c r="I1104" s="188">
        <v>269</v>
      </c>
      <c r="J1104" s="188">
        <f>+I1104*H1104</f>
        <v>43578</v>
      </c>
      <c r="K1104" s="232">
        <v>44431</v>
      </c>
      <c r="L1104" s="192"/>
      <c r="M1104" s="442">
        <v>44427</v>
      </c>
      <c r="N1104" s="442"/>
      <c r="O1104" s="442"/>
    </row>
    <row r="1105" spans="1:15" s="351" customFormat="1" ht="13.5" customHeight="1" x14ac:dyDescent="0.3">
      <c r="A1105" s="185" t="s">
        <v>3399</v>
      </c>
      <c r="B1105" s="352" t="s">
        <v>1649</v>
      </c>
      <c r="C1105" s="187" t="s">
        <v>331</v>
      </c>
      <c r="D1105" s="225" t="s">
        <v>3362</v>
      </c>
      <c r="E1105" s="190">
        <v>30</v>
      </c>
      <c r="F1105" s="227" t="s">
        <v>45</v>
      </c>
      <c r="G1105" s="233">
        <v>44435</v>
      </c>
      <c r="H1105" s="252">
        <v>540</v>
      </c>
      <c r="I1105" s="188">
        <v>269</v>
      </c>
      <c r="J1105" s="188">
        <f>+I1105*H1105</f>
        <v>145260</v>
      </c>
      <c r="K1105" s="232">
        <v>44432</v>
      </c>
      <c r="L1105" s="192"/>
      <c r="M1105" s="442">
        <v>44427</v>
      </c>
      <c r="N1105" s="442"/>
      <c r="O1105" s="442"/>
    </row>
    <row r="1106" spans="1:15" s="351" customFormat="1" ht="13.5" customHeight="1" x14ac:dyDescent="0.3">
      <c r="A1106" s="185" t="s">
        <v>2688</v>
      </c>
      <c r="B1106" s="352" t="s">
        <v>1600</v>
      </c>
      <c r="C1106" s="187" t="s">
        <v>2374</v>
      </c>
      <c r="D1106" s="225" t="s">
        <v>3010</v>
      </c>
      <c r="E1106" s="190">
        <v>120</v>
      </c>
      <c r="F1106" s="227" t="s">
        <v>20</v>
      </c>
      <c r="G1106" s="233">
        <v>44439</v>
      </c>
      <c r="H1106" s="252">
        <v>392.09800000000001</v>
      </c>
      <c r="I1106" s="188">
        <v>460</v>
      </c>
      <c r="J1106" s="188">
        <f>+I1106*H1106</f>
        <v>180365.08000000002</v>
      </c>
      <c r="K1106" s="232">
        <v>44435</v>
      </c>
      <c r="L1106" s="192"/>
      <c r="M1106" s="442"/>
      <c r="N1106" s="442"/>
      <c r="O1106" s="442"/>
    </row>
    <row r="1107" spans="1:15" s="351" customFormat="1" ht="13.5" customHeight="1" x14ac:dyDescent="0.3">
      <c r="A1107" s="185" t="s">
        <v>514</v>
      </c>
      <c r="B1107" s="352" t="s">
        <v>1600</v>
      </c>
      <c r="C1107" s="187" t="s">
        <v>2374</v>
      </c>
      <c r="D1107" s="225"/>
      <c r="E1107" s="190">
        <v>120</v>
      </c>
      <c r="F1107" s="227" t="s">
        <v>20</v>
      </c>
      <c r="G1107" s="233">
        <v>44439</v>
      </c>
      <c r="H1107" s="252"/>
      <c r="I1107" s="188"/>
      <c r="J1107" s="188">
        <v>-784.2</v>
      </c>
      <c r="K1107" s="232">
        <v>44435</v>
      </c>
      <c r="L1107" s="192"/>
      <c r="M1107" s="442"/>
      <c r="N1107" s="442"/>
      <c r="O1107" s="442"/>
    </row>
    <row r="1108" spans="1:15" s="351" customFormat="1" ht="13.5" customHeight="1" x14ac:dyDescent="0.3">
      <c r="A1108" s="185" t="s">
        <v>514</v>
      </c>
      <c r="B1108" s="352" t="s">
        <v>1599</v>
      </c>
      <c r="C1108" s="187" t="s">
        <v>2374</v>
      </c>
      <c r="D1108" s="225"/>
      <c r="E1108" s="190">
        <v>120</v>
      </c>
      <c r="F1108" s="227" t="s">
        <v>20</v>
      </c>
      <c r="G1108" s="233">
        <v>44439</v>
      </c>
      <c r="H1108" s="252"/>
      <c r="I1108" s="188"/>
      <c r="J1108" s="188">
        <v>-2521.4749999999999</v>
      </c>
      <c r="K1108" s="232">
        <v>44435</v>
      </c>
      <c r="L1108" s="192"/>
      <c r="M1108" s="442">
        <v>44368</v>
      </c>
      <c r="N1108" s="442"/>
      <c r="O1108" s="442"/>
    </row>
    <row r="1109" spans="1:15" s="351" customFormat="1" ht="13.5" customHeight="1" x14ac:dyDescent="0.3">
      <c r="A1109" s="185" t="s">
        <v>514</v>
      </c>
      <c r="B1109" s="352" t="s">
        <v>1600</v>
      </c>
      <c r="C1109" s="187" t="s">
        <v>2374</v>
      </c>
      <c r="D1109" s="225"/>
      <c r="E1109" s="190">
        <v>120</v>
      </c>
      <c r="F1109" s="227" t="s">
        <v>20</v>
      </c>
      <c r="G1109" s="233">
        <v>44439</v>
      </c>
      <c r="H1109" s="252"/>
      <c r="I1109" s="188"/>
      <c r="J1109" s="188">
        <v>-2156.85</v>
      </c>
      <c r="K1109" s="232">
        <v>44435</v>
      </c>
      <c r="L1109" s="192"/>
      <c r="M1109" s="442"/>
      <c r="N1109" s="442"/>
      <c r="O1109" s="442"/>
    </row>
    <row r="1110" spans="1:15" s="351" customFormat="1" ht="13.5" customHeight="1" x14ac:dyDescent="0.3">
      <c r="A1110" s="185" t="s">
        <v>2992</v>
      </c>
      <c r="B1110" s="352" t="s">
        <v>502</v>
      </c>
      <c r="C1110" s="187" t="s">
        <v>1497</v>
      </c>
      <c r="D1110" s="225" t="s">
        <v>3180</v>
      </c>
      <c r="E1110" s="190">
        <v>90</v>
      </c>
      <c r="F1110" s="227" t="s">
        <v>20</v>
      </c>
      <c r="G1110" s="233">
        <v>44439</v>
      </c>
      <c r="H1110" s="252">
        <v>135</v>
      </c>
      <c r="I1110" s="188">
        <v>605</v>
      </c>
      <c r="J1110" s="188">
        <v>81675</v>
      </c>
      <c r="K1110" s="232">
        <v>44440</v>
      </c>
      <c r="L1110" s="192"/>
      <c r="M1110" s="443">
        <v>44439</v>
      </c>
      <c r="N1110" s="443"/>
      <c r="O1110" s="443"/>
    </row>
    <row r="1111" spans="1:15" s="351" customFormat="1" ht="13.5" customHeight="1" x14ac:dyDescent="0.3">
      <c r="A1111" s="185" t="s">
        <v>2807</v>
      </c>
      <c r="B1111" s="352" t="s">
        <v>1326</v>
      </c>
      <c r="C1111" s="187" t="s">
        <v>1497</v>
      </c>
      <c r="D1111" s="225" t="s">
        <v>3181</v>
      </c>
      <c r="E1111" s="190">
        <v>90</v>
      </c>
      <c r="F1111" s="227" t="s">
        <v>20</v>
      </c>
      <c r="G1111" s="233">
        <v>44436</v>
      </c>
      <c r="H1111" s="252">
        <v>2500</v>
      </c>
      <c r="I1111" s="188">
        <v>477</v>
      </c>
      <c r="J1111" s="188">
        <v>1192500</v>
      </c>
      <c r="K1111" s="232">
        <v>44440</v>
      </c>
      <c r="L1111" s="192"/>
      <c r="M1111" s="443">
        <v>44439</v>
      </c>
      <c r="N1111" s="443"/>
      <c r="O1111" s="443"/>
    </row>
    <row r="1112" spans="1:15" s="351" customFormat="1" ht="13.5" customHeight="1" x14ac:dyDescent="0.3">
      <c r="A1112" s="185" t="s">
        <v>2808</v>
      </c>
      <c r="B1112" s="352" t="s">
        <v>1326</v>
      </c>
      <c r="C1112" s="187" t="s">
        <v>1497</v>
      </c>
      <c r="D1112" s="225" t="s">
        <v>3182</v>
      </c>
      <c r="E1112" s="190">
        <v>90</v>
      </c>
      <c r="F1112" s="227" t="s">
        <v>20</v>
      </c>
      <c r="G1112" s="233">
        <v>44436</v>
      </c>
      <c r="H1112" s="252">
        <v>3500</v>
      </c>
      <c r="I1112" s="188">
        <v>477</v>
      </c>
      <c r="J1112" s="188">
        <v>1669500</v>
      </c>
      <c r="K1112" s="232">
        <v>44440</v>
      </c>
      <c r="L1112" s="192"/>
      <c r="M1112" s="443">
        <v>44439</v>
      </c>
      <c r="N1112" s="443"/>
      <c r="O1112" s="443"/>
    </row>
    <row r="1113" spans="1:15" s="351" customFormat="1" ht="13.5" customHeight="1" x14ac:dyDescent="0.3">
      <c r="A1113" s="185" t="s">
        <v>2735</v>
      </c>
      <c r="B1113" s="352" t="s">
        <v>1599</v>
      </c>
      <c r="C1113" s="187" t="s">
        <v>512</v>
      </c>
      <c r="D1113" s="225" t="s">
        <v>552</v>
      </c>
      <c r="E1113" s="190">
        <v>180</v>
      </c>
      <c r="F1113" s="227" t="s">
        <v>20</v>
      </c>
      <c r="G1113" s="233">
        <v>44442</v>
      </c>
      <c r="H1113" s="252">
        <v>3850</v>
      </c>
      <c r="I1113" s="188">
        <v>260</v>
      </c>
      <c r="J1113" s="188">
        <f>+I1113*H1113</f>
        <v>1001000</v>
      </c>
      <c r="K1113" s="232">
        <v>44442</v>
      </c>
      <c r="L1113" s="192"/>
      <c r="M1113" s="445">
        <v>44438</v>
      </c>
      <c r="N1113" s="445"/>
      <c r="O1113" s="445"/>
    </row>
    <row r="1114" spans="1:15" s="351" customFormat="1" ht="13.5" customHeight="1" x14ac:dyDescent="0.25">
      <c r="A1114" s="185" t="s">
        <v>2724</v>
      </c>
      <c r="B1114" s="352" t="s">
        <v>1292</v>
      </c>
      <c r="C1114" s="187" t="s">
        <v>280</v>
      </c>
      <c r="D1114" s="225" t="s">
        <v>3364</v>
      </c>
      <c r="E1114" s="190" t="s">
        <v>5</v>
      </c>
      <c r="F1114" s="227"/>
      <c r="G1114" s="233">
        <v>44442</v>
      </c>
      <c r="H1114" s="252">
        <f>1600+1200</f>
        <v>2800</v>
      </c>
      <c r="I1114" s="188">
        <v>119</v>
      </c>
      <c r="J1114" s="188">
        <f>+I1114*H1114</f>
        <v>333200</v>
      </c>
      <c r="K1114" s="232">
        <v>44446</v>
      </c>
      <c r="L1114" s="192"/>
      <c r="M1114" s="445"/>
      <c r="N1114" s="445"/>
      <c r="O1114" s="445"/>
    </row>
    <row r="1115" spans="1:15" s="351" customFormat="1" ht="13.5" customHeight="1" x14ac:dyDescent="0.3">
      <c r="A1115" s="185" t="s">
        <v>3313</v>
      </c>
      <c r="B1115" s="352" t="s">
        <v>1785</v>
      </c>
      <c r="C1115" s="187" t="s">
        <v>331</v>
      </c>
      <c r="D1115" s="225" t="s">
        <v>3382</v>
      </c>
      <c r="E1115" s="190" t="s">
        <v>5</v>
      </c>
      <c r="F1115" s="227"/>
      <c r="G1115" s="233">
        <v>44445</v>
      </c>
      <c r="H1115" s="252">
        <v>214.75</v>
      </c>
      <c r="I1115" s="188">
        <v>322.76</v>
      </c>
      <c r="J1115" s="188">
        <v>69312.709999999992</v>
      </c>
      <c r="K1115" s="232">
        <v>44446</v>
      </c>
      <c r="L1115" s="192"/>
      <c r="M1115" s="445">
        <v>44419</v>
      </c>
      <c r="N1115" s="445"/>
      <c r="O1115" s="445"/>
    </row>
    <row r="1116" spans="1:15" s="351" customFormat="1" ht="13.5" customHeight="1" x14ac:dyDescent="0.3">
      <c r="A1116" s="185" t="s">
        <v>3158</v>
      </c>
      <c r="B1116" s="352" t="s">
        <v>1785</v>
      </c>
      <c r="C1116" s="187" t="s">
        <v>331</v>
      </c>
      <c r="D1116" s="225" t="s">
        <v>3383</v>
      </c>
      <c r="E1116" s="190" t="s">
        <v>5</v>
      </c>
      <c r="F1116" s="227"/>
      <c r="G1116" s="233">
        <v>44445</v>
      </c>
      <c r="H1116" s="252">
        <v>214.65</v>
      </c>
      <c r="I1116" s="188">
        <v>320.51</v>
      </c>
      <c r="J1116" s="188">
        <v>68797.4715</v>
      </c>
      <c r="K1116" s="232">
        <v>44446</v>
      </c>
      <c r="L1116" s="192"/>
      <c r="M1116" s="445">
        <v>44419</v>
      </c>
      <c r="N1116" s="445"/>
      <c r="O1116" s="445"/>
    </row>
    <row r="1117" spans="1:15" s="351" customFormat="1" ht="13.5" customHeight="1" x14ac:dyDescent="0.3">
      <c r="A1117" s="185" t="s">
        <v>3453</v>
      </c>
      <c r="B1117" s="352" t="s">
        <v>1785</v>
      </c>
      <c r="C1117" s="187" t="s">
        <v>331</v>
      </c>
      <c r="D1117" s="225" t="s">
        <v>3420</v>
      </c>
      <c r="E1117" s="190" t="s">
        <v>5</v>
      </c>
      <c r="F1117" s="227"/>
      <c r="G1117" s="233">
        <v>44445</v>
      </c>
      <c r="H1117" s="252">
        <v>243</v>
      </c>
      <c r="I1117" s="188">
        <v>341</v>
      </c>
      <c r="J1117" s="188">
        <v>82863</v>
      </c>
      <c r="K1117" s="232">
        <v>44446</v>
      </c>
      <c r="L1117" s="192"/>
      <c r="M1117" s="445">
        <v>44427</v>
      </c>
      <c r="N1117" s="445"/>
      <c r="O1117" s="445"/>
    </row>
    <row r="1118" spans="1:15" s="351" customFormat="1" ht="13.5" customHeight="1" x14ac:dyDescent="0.3">
      <c r="A1118" s="185" t="s">
        <v>3454</v>
      </c>
      <c r="B1118" s="352" t="s">
        <v>1785</v>
      </c>
      <c r="C1118" s="187" t="s">
        <v>331</v>
      </c>
      <c r="D1118" s="225" t="s">
        <v>3420</v>
      </c>
      <c r="E1118" s="190" t="s">
        <v>5</v>
      </c>
      <c r="F1118" s="227"/>
      <c r="G1118" s="233">
        <v>44445</v>
      </c>
      <c r="H1118" s="252">
        <v>27</v>
      </c>
      <c r="I1118" s="188">
        <v>341</v>
      </c>
      <c r="J1118" s="188">
        <v>9207</v>
      </c>
      <c r="K1118" s="232">
        <v>44446</v>
      </c>
      <c r="L1118" s="192"/>
      <c r="M1118" s="445">
        <v>44427</v>
      </c>
      <c r="N1118" s="445"/>
      <c r="O1118" s="445"/>
    </row>
    <row r="1119" spans="1:15" s="351" customFormat="1" ht="13.5" customHeight="1" x14ac:dyDescent="0.3">
      <c r="A1119" s="185" t="s">
        <v>3183</v>
      </c>
      <c r="B1119" s="352" t="s">
        <v>1258</v>
      </c>
      <c r="C1119" s="187" t="s">
        <v>1185</v>
      </c>
      <c r="D1119" s="225" t="s">
        <v>3287</v>
      </c>
      <c r="E1119" s="190">
        <v>60</v>
      </c>
      <c r="F1119" s="227" t="s">
        <v>20</v>
      </c>
      <c r="G1119" s="233">
        <v>44441</v>
      </c>
      <c r="H1119" s="252">
        <v>17.962</v>
      </c>
      <c r="I1119" s="188">
        <v>1827.8588130497701</v>
      </c>
      <c r="J1119" s="188">
        <f>+I1119*H1119</f>
        <v>32831.999999999971</v>
      </c>
      <c r="K1119" s="232">
        <v>44447</v>
      </c>
      <c r="L1119" s="192"/>
      <c r="M1119" s="445">
        <v>44439</v>
      </c>
      <c r="N1119" s="445"/>
      <c r="O1119" s="445"/>
    </row>
    <row r="1120" spans="1:15" s="351" customFormat="1" ht="13.5" customHeight="1" x14ac:dyDescent="0.3">
      <c r="A1120" s="185" t="s">
        <v>3184</v>
      </c>
      <c r="B1120" s="352" t="s">
        <v>1258</v>
      </c>
      <c r="C1120" s="187" t="s">
        <v>1185</v>
      </c>
      <c r="D1120" s="225" t="s">
        <v>3288</v>
      </c>
      <c r="E1120" s="190">
        <v>60</v>
      </c>
      <c r="F1120" s="227" t="s">
        <v>20</v>
      </c>
      <c r="G1120" s="233">
        <v>44445</v>
      </c>
      <c r="H1120" s="252">
        <v>16.416</v>
      </c>
      <c r="I1120" s="188">
        <v>1990.1559454190999</v>
      </c>
      <c r="J1120" s="188">
        <f>+I1120*H1120</f>
        <v>32670.399999999943</v>
      </c>
      <c r="K1120" s="232">
        <v>44447</v>
      </c>
      <c r="L1120" s="192"/>
      <c r="M1120" s="445">
        <v>44445</v>
      </c>
      <c r="N1120" s="445"/>
      <c r="O1120" s="445"/>
    </row>
    <row r="1121" spans="1:18" s="351" customFormat="1" ht="13.5" customHeight="1" x14ac:dyDescent="0.3">
      <c r="A1121" s="185" t="s">
        <v>2682</v>
      </c>
      <c r="B1121" s="352" t="s">
        <v>1325</v>
      </c>
      <c r="C1121" s="187" t="s">
        <v>928</v>
      </c>
      <c r="D1121" s="225" t="s">
        <v>3193</v>
      </c>
      <c r="E1121" s="190">
        <v>90</v>
      </c>
      <c r="F1121" s="227" t="s">
        <v>20</v>
      </c>
      <c r="G1121" s="233">
        <v>44447</v>
      </c>
      <c r="H1121" s="252">
        <v>312</v>
      </c>
      <c r="I1121" s="188">
        <v>1002</v>
      </c>
      <c r="J1121" s="188">
        <f>+I1121*H1121</f>
        <v>312624</v>
      </c>
      <c r="K1121" s="232">
        <v>44448</v>
      </c>
      <c r="L1121" s="192"/>
      <c r="M1121" s="446">
        <v>44415</v>
      </c>
      <c r="N1121" s="446"/>
      <c r="O1121" s="446"/>
      <c r="Q1121" s="351">
        <f>+U1120+1</f>
        <v>1</v>
      </c>
      <c r="R1121" s="351" t="s">
        <v>40</v>
      </c>
    </row>
    <row r="1122" spans="1:18" s="351" customFormat="1" ht="13.5" customHeight="1" x14ac:dyDescent="0.3">
      <c r="A1122" s="185" t="s">
        <v>3395</v>
      </c>
      <c r="B1122" s="352" t="s">
        <v>1649</v>
      </c>
      <c r="C1122" s="187" t="s">
        <v>331</v>
      </c>
      <c r="D1122" s="225" t="s">
        <v>3487</v>
      </c>
      <c r="E1122" s="190">
        <v>30</v>
      </c>
      <c r="F1122" s="227" t="s">
        <v>45</v>
      </c>
      <c r="G1122" s="233">
        <v>44449</v>
      </c>
      <c r="H1122" s="252">
        <v>129.6</v>
      </c>
      <c r="I1122" s="188">
        <v>269</v>
      </c>
      <c r="J1122" s="188">
        <v>34862.400000000001</v>
      </c>
      <c r="K1122" s="232">
        <v>44452</v>
      </c>
      <c r="L1122" s="192"/>
      <c r="M1122" s="445">
        <v>44446</v>
      </c>
      <c r="N1122" s="445"/>
      <c r="O1122" s="445"/>
    </row>
    <row r="1123" spans="1:18" s="351" customFormat="1" ht="13.5" customHeight="1" x14ac:dyDescent="0.3">
      <c r="A1123" s="185" t="s">
        <v>3413</v>
      </c>
      <c r="B1123" s="352" t="s">
        <v>1649</v>
      </c>
      <c r="C1123" s="187" t="s">
        <v>331</v>
      </c>
      <c r="D1123" s="225" t="s">
        <v>3426</v>
      </c>
      <c r="E1123" s="190">
        <v>30</v>
      </c>
      <c r="F1123" s="227" t="s">
        <v>45</v>
      </c>
      <c r="G1123" s="233">
        <v>44450</v>
      </c>
      <c r="H1123" s="252">
        <v>540</v>
      </c>
      <c r="I1123" s="188">
        <v>269</v>
      </c>
      <c r="J1123" s="188">
        <v>145260</v>
      </c>
      <c r="K1123" s="232">
        <v>44452</v>
      </c>
      <c r="L1123" s="192"/>
      <c r="M1123" s="445">
        <v>44446</v>
      </c>
      <c r="N1123" s="445"/>
      <c r="O1123" s="445"/>
    </row>
    <row r="1124" spans="1:18" s="351" customFormat="1" ht="13.5" customHeight="1" x14ac:dyDescent="0.25">
      <c r="A1124" s="185" t="s">
        <v>3455</v>
      </c>
      <c r="B1124" s="352" t="s">
        <v>1384</v>
      </c>
      <c r="C1124" s="187" t="s">
        <v>1385</v>
      </c>
      <c r="D1124" s="225" t="s">
        <v>3498</v>
      </c>
      <c r="E1124" s="190" t="s">
        <v>5</v>
      </c>
      <c r="F1124" s="227"/>
      <c r="G1124" s="233">
        <v>44452</v>
      </c>
      <c r="H1124" s="252">
        <v>2</v>
      </c>
      <c r="I1124" s="188">
        <v>4320</v>
      </c>
      <c r="J1124" s="188">
        <f>+I1124*H1124</f>
        <v>8640</v>
      </c>
      <c r="K1124" s="232">
        <v>44454</v>
      </c>
      <c r="L1124" s="192"/>
      <c r="M1124" s="445">
        <v>44452</v>
      </c>
      <c r="N1124" s="445"/>
      <c r="O1124" s="445"/>
    </row>
    <row r="1125" spans="1:18" s="351" customFormat="1" ht="13.5" customHeight="1" x14ac:dyDescent="0.3">
      <c r="A1125" s="185" t="s">
        <v>3429</v>
      </c>
      <c r="B1125" s="352" t="s">
        <v>1649</v>
      </c>
      <c r="C1125" s="187" t="s">
        <v>331</v>
      </c>
      <c r="D1125" s="225" t="s">
        <v>3510</v>
      </c>
      <c r="E1125" s="190">
        <v>30</v>
      </c>
      <c r="F1125" s="227" t="s">
        <v>45</v>
      </c>
      <c r="G1125" s="233">
        <v>44456</v>
      </c>
      <c r="H1125" s="252">
        <v>270</v>
      </c>
      <c r="I1125" s="188">
        <v>269</v>
      </c>
      <c r="J1125" s="188">
        <v>72630</v>
      </c>
      <c r="K1125" s="232">
        <v>44455</v>
      </c>
      <c r="L1125" s="192"/>
      <c r="M1125" s="446"/>
      <c r="N1125" s="446"/>
      <c r="O1125" s="446"/>
    </row>
    <row r="1126" spans="1:18" s="351" customFormat="1" ht="13.5" customHeight="1" x14ac:dyDescent="0.3">
      <c r="A1126" s="185" t="s">
        <v>3456</v>
      </c>
      <c r="B1126" s="352" t="s">
        <v>1649</v>
      </c>
      <c r="C1126" s="187" t="s">
        <v>331</v>
      </c>
      <c r="D1126" s="225" t="s">
        <v>3511</v>
      </c>
      <c r="E1126" s="190">
        <v>30</v>
      </c>
      <c r="F1126" s="227" t="s">
        <v>45</v>
      </c>
      <c r="G1126" s="233">
        <v>44458</v>
      </c>
      <c r="H1126" s="252">
        <v>54</v>
      </c>
      <c r="I1126" s="188">
        <v>271.08</v>
      </c>
      <c r="J1126" s="188">
        <v>14638.32</v>
      </c>
      <c r="K1126" s="232">
        <v>44455</v>
      </c>
      <c r="L1126" s="192"/>
      <c r="M1126" s="446"/>
      <c r="N1126" s="446"/>
      <c r="O1126" s="446"/>
    </row>
    <row r="1127" spans="1:18" s="351" customFormat="1" ht="13.5" customHeight="1" x14ac:dyDescent="0.3">
      <c r="A1127" s="185" t="s">
        <v>3280</v>
      </c>
      <c r="B1127" s="352" t="s">
        <v>1325</v>
      </c>
      <c r="C1127" s="187" t="s">
        <v>3273</v>
      </c>
      <c r="D1127" s="225" t="s">
        <v>3451</v>
      </c>
      <c r="E1127" s="190" t="s">
        <v>5</v>
      </c>
      <c r="F1127" s="227"/>
      <c r="G1127" s="233">
        <v>44456</v>
      </c>
      <c r="H1127" s="252">
        <v>133</v>
      </c>
      <c r="I1127" s="188">
        <v>1516</v>
      </c>
      <c r="J1127" s="188">
        <v>201628</v>
      </c>
      <c r="K1127" s="232">
        <v>44456</v>
      </c>
      <c r="L1127" s="192"/>
      <c r="M1127" s="446"/>
      <c r="N1127" s="446"/>
      <c r="O1127" s="446"/>
    </row>
    <row r="1128" spans="1:18" s="351" customFormat="1" ht="13.5" customHeight="1" x14ac:dyDescent="0.3">
      <c r="A1128" s="185" t="s">
        <v>3281</v>
      </c>
      <c r="B1128" s="352" t="s">
        <v>1325</v>
      </c>
      <c r="C1128" s="187" t="s">
        <v>3273</v>
      </c>
      <c r="D1128" s="225" t="s">
        <v>3452</v>
      </c>
      <c r="E1128" s="190" t="s">
        <v>5</v>
      </c>
      <c r="F1128" s="227"/>
      <c r="G1128" s="233">
        <v>44456</v>
      </c>
      <c r="H1128" s="252">
        <v>159.6</v>
      </c>
      <c r="I1128" s="188">
        <v>1516</v>
      </c>
      <c r="J1128" s="188">
        <v>241953.6</v>
      </c>
      <c r="K1128" s="232">
        <v>44456</v>
      </c>
      <c r="L1128" s="192"/>
      <c r="M1128" s="446"/>
      <c r="N1128" s="446"/>
      <c r="O1128" s="446"/>
    </row>
    <row r="1129" spans="1:18" s="351" customFormat="1" ht="13.5" customHeight="1" x14ac:dyDescent="0.25">
      <c r="A1129" s="185" t="s">
        <v>3322</v>
      </c>
      <c r="B1129" s="352" t="s">
        <v>1999</v>
      </c>
      <c r="C1129" s="187" t="s">
        <v>1036</v>
      </c>
      <c r="D1129" s="225" t="s">
        <v>3515</v>
      </c>
      <c r="E1129" s="190" t="s">
        <v>5</v>
      </c>
      <c r="F1129" s="227"/>
      <c r="G1129" s="233">
        <v>44456</v>
      </c>
      <c r="H1129" s="252">
        <v>65</v>
      </c>
      <c r="I1129" s="188">
        <v>239</v>
      </c>
      <c r="J1129" s="188">
        <v>15535</v>
      </c>
      <c r="K1129" s="232">
        <v>44456</v>
      </c>
      <c r="L1129" s="192"/>
      <c r="M1129" s="446"/>
      <c r="N1129" s="446"/>
      <c r="O1129" s="446"/>
    </row>
    <row r="1130" spans="1:18" s="351" customFormat="1" ht="13.5" customHeight="1" x14ac:dyDescent="0.3">
      <c r="A1130" s="185" t="s">
        <v>3251</v>
      </c>
      <c r="B1130" s="352" t="s">
        <v>502</v>
      </c>
      <c r="C1130" s="187" t="s">
        <v>1497</v>
      </c>
      <c r="D1130" s="225" t="s">
        <v>3285</v>
      </c>
      <c r="E1130" s="190">
        <v>90</v>
      </c>
      <c r="F1130" s="227" t="s">
        <v>20</v>
      </c>
      <c r="G1130" s="233">
        <v>44456</v>
      </c>
      <c r="H1130" s="252">
        <v>135</v>
      </c>
      <c r="I1130" s="188">
        <v>590</v>
      </c>
      <c r="J1130" s="188">
        <v>79650</v>
      </c>
      <c r="K1130" s="232">
        <v>44456</v>
      </c>
      <c r="L1130" s="192"/>
      <c r="M1130" s="446">
        <v>44452</v>
      </c>
      <c r="N1130" s="446"/>
      <c r="O1130" s="446"/>
    </row>
    <row r="1131" spans="1:18" s="351" customFormat="1" ht="13.5" customHeight="1" x14ac:dyDescent="0.3">
      <c r="A1131" s="185" t="s">
        <v>3252</v>
      </c>
      <c r="B1131" s="352" t="s">
        <v>502</v>
      </c>
      <c r="C1131" s="187" t="s">
        <v>1497</v>
      </c>
      <c r="D1131" s="225" t="s">
        <v>3286</v>
      </c>
      <c r="E1131" s="190">
        <v>90</v>
      </c>
      <c r="F1131" s="227" t="s">
        <v>20</v>
      </c>
      <c r="G1131" s="233">
        <v>44463</v>
      </c>
      <c r="H1131" s="252">
        <v>162</v>
      </c>
      <c r="I1131" s="188">
        <v>590</v>
      </c>
      <c r="J1131" s="188">
        <v>95580</v>
      </c>
      <c r="K1131" s="232">
        <v>44456</v>
      </c>
      <c r="L1131" s="192"/>
      <c r="M1131" s="446">
        <v>44452</v>
      </c>
      <c r="N1131" s="446"/>
      <c r="O1131" s="446"/>
    </row>
    <row r="1132" spans="1:18" s="351" customFormat="1" ht="13.5" customHeight="1" x14ac:dyDescent="0.3">
      <c r="A1132" s="185" t="s">
        <v>2875</v>
      </c>
      <c r="B1132" s="352" t="s">
        <v>1293</v>
      </c>
      <c r="C1132" s="187" t="s">
        <v>1294</v>
      </c>
      <c r="D1132" s="225" t="s">
        <v>3196</v>
      </c>
      <c r="E1132" s="190">
        <v>150</v>
      </c>
      <c r="F1132" s="227" t="s">
        <v>20</v>
      </c>
      <c r="G1132" s="233">
        <v>44456</v>
      </c>
      <c r="H1132" s="252">
        <v>500</v>
      </c>
      <c r="I1132" s="188">
        <v>305</v>
      </c>
      <c r="J1132" s="188">
        <v>152500</v>
      </c>
      <c r="K1132" s="232">
        <v>44456</v>
      </c>
      <c r="L1132" s="192"/>
      <c r="M1132" s="446"/>
      <c r="N1132" s="446"/>
      <c r="O1132" s="446"/>
    </row>
    <row r="1133" spans="1:18" s="351" customFormat="1" ht="13.5" customHeight="1" x14ac:dyDescent="0.3">
      <c r="A1133" s="185" t="s">
        <v>3457</v>
      </c>
      <c r="B1133" s="352" t="s">
        <v>1649</v>
      </c>
      <c r="C1133" s="187" t="s">
        <v>331</v>
      </c>
      <c r="D1133" s="225" t="s">
        <v>3512</v>
      </c>
      <c r="E1133" s="190">
        <v>30</v>
      </c>
      <c r="F1133" s="227" t="s">
        <v>45</v>
      </c>
      <c r="G1133" s="233">
        <v>44461</v>
      </c>
      <c r="H1133" s="252">
        <v>135</v>
      </c>
      <c r="I1133" s="188">
        <v>269</v>
      </c>
      <c r="J1133" s="188">
        <v>36315</v>
      </c>
      <c r="K1133" s="232">
        <v>44460</v>
      </c>
      <c r="L1133" s="192"/>
      <c r="M1133" s="446"/>
      <c r="N1133" s="446"/>
      <c r="O1133" s="446"/>
    </row>
    <row r="1134" spans="1:18" s="351" customFormat="1" ht="13.5" customHeight="1" x14ac:dyDescent="0.3">
      <c r="A1134" s="185" t="s">
        <v>3458</v>
      </c>
      <c r="B1134" s="352" t="s">
        <v>1649</v>
      </c>
      <c r="C1134" s="187" t="s">
        <v>331</v>
      </c>
      <c r="D1134" s="225" t="s">
        <v>3513</v>
      </c>
      <c r="E1134" s="190">
        <v>30</v>
      </c>
      <c r="F1134" s="227" t="s">
        <v>45</v>
      </c>
      <c r="G1134" s="233">
        <v>44463</v>
      </c>
      <c r="H1134" s="252">
        <v>135</v>
      </c>
      <c r="I1134" s="188">
        <v>269</v>
      </c>
      <c r="J1134" s="188">
        <v>36315</v>
      </c>
      <c r="K1134" s="232">
        <v>44460</v>
      </c>
      <c r="L1134" s="192"/>
      <c r="M1134" s="446"/>
      <c r="N1134" s="446"/>
      <c r="O1134" s="446"/>
    </row>
    <row r="1135" spans="1:18" s="351" customFormat="1" ht="13.5" customHeight="1" x14ac:dyDescent="0.3">
      <c r="A1135" s="185" t="s">
        <v>2685</v>
      </c>
      <c r="B1135" s="352" t="s">
        <v>1325</v>
      </c>
      <c r="C1135" s="187" t="s">
        <v>928</v>
      </c>
      <c r="D1135" s="225" t="s">
        <v>3284</v>
      </c>
      <c r="E1135" s="190">
        <v>90</v>
      </c>
      <c r="F1135" s="227" t="s">
        <v>20</v>
      </c>
      <c r="G1135" s="233">
        <v>44463</v>
      </c>
      <c r="H1135" s="252">
        <v>216</v>
      </c>
      <c r="I1135" s="188">
        <v>980</v>
      </c>
      <c r="J1135" s="188">
        <v>211680</v>
      </c>
      <c r="K1135" s="232">
        <v>44461</v>
      </c>
      <c r="L1135" s="192"/>
      <c r="M1135" s="446"/>
      <c r="N1135" s="446"/>
      <c r="O1135" s="446"/>
    </row>
    <row r="1136" spans="1:18" s="351" customFormat="1" ht="13.5" customHeight="1" x14ac:dyDescent="0.3">
      <c r="A1136" s="185" t="s">
        <v>3558</v>
      </c>
      <c r="B1136" s="352" t="s">
        <v>1387</v>
      </c>
      <c r="C1136" s="187" t="s">
        <v>928</v>
      </c>
      <c r="D1136" s="225" t="s">
        <v>3557</v>
      </c>
      <c r="E1136" s="190" t="s">
        <v>5</v>
      </c>
      <c r="F1136" s="227"/>
      <c r="G1136" s="233">
        <v>44463</v>
      </c>
      <c r="H1136" s="252">
        <v>900</v>
      </c>
      <c r="I1136" s="188">
        <v>705</v>
      </c>
      <c r="J1136" s="188">
        <v>634500</v>
      </c>
      <c r="K1136" s="232">
        <v>44463</v>
      </c>
      <c r="L1136" s="192"/>
      <c r="M1136" s="447"/>
      <c r="N1136" s="447"/>
      <c r="O1136" s="447"/>
    </row>
    <row r="1137" spans="1:18" s="351" customFormat="1" ht="13.5" customHeight="1" x14ac:dyDescent="0.25">
      <c r="A1137" s="185" t="s">
        <v>3509</v>
      </c>
      <c r="B1137" s="352" t="s">
        <v>1439</v>
      </c>
      <c r="C1137" s="187" t="s">
        <v>928</v>
      </c>
      <c r="D1137" s="225"/>
      <c r="E1137" s="190" t="s">
        <v>5</v>
      </c>
      <c r="F1137" s="227"/>
      <c r="G1137" s="233">
        <v>44469</v>
      </c>
      <c r="H1137" s="252">
        <v>540</v>
      </c>
      <c r="I1137" s="188">
        <v>340</v>
      </c>
      <c r="J1137" s="188">
        <v>183600</v>
      </c>
      <c r="K1137" s="232">
        <v>44463</v>
      </c>
      <c r="L1137" s="192"/>
      <c r="M1137" s="447"/>
      <c r="N1137" s="447"/>
      <c r="O1137" s="447"/>
    </row>
    <row r="1138" spans="1:18" s="351" customFormat="1" ht="13.5" customHeight="1" x14ac:dyDescent="0.3">
      <c r="A1138" s="185" t="s">
        <v>2921</v>
      </c>
      <c r="B1138" s="352" t="s">
        <v>1409</v>
      </c>
      <c r="C1138" s="187" t="s">
        <v>1433</v>
      </c>
      <c r="D1138" s="225" t="s">
        <v>552</v>
      </c>
      <c r="E1138" s="190">
        <v>150</v>
      </c>
      <c r="F1138" s="227" t="s">
        <v>20</v>
      </c>
      <c r="G1138" s="233">
        <v>44467</v>
      </c>
      <c r="H1138" s="252">
        <v>4950</v>
      </c>
      <c r="I1138" s="188">
        <v>356.63</v>
      </c>
      <c r="J1138" s="188">
        <v>1765318.5</v>
      </c>
      <c r="K1138" s="232">
        <v>44463</v>
      </c>
      <c r="L1138" s="192" t="s">
        <v>1534</v>
      </c>
      <c r="M1138" s="447"/>
      <c r="N1138" s="447"/>
      <c r="O1138" s="447"/>
    </row>
    <row r="1139" spans="1:18" s="351" customFormat="1" ht="13.5" customHeight="1" x14ac:dyDescent="0.3">
      <c r="A1139" s="185" t="s">
        <v>3466</v>
      </c>
      <c r="B1139" s="352" t="s">
        <v>1649</v>
      </c>
      <c r="C1139" s="187" t="s">
        <v>331</v>
      </c>
      <c r="D1139" s="225" t="s">
        <v>3486</v>
      </c>
      <c r="E1139" s="190">
        <v>30</v>
      </c>
      <c r="F1139" s="227" t="s">
        <v>45</v>
      </c>
      <c r="G1139" s="233">
        <v>44470</v>
      </c>
      <c r="H1139" s="252">
        <v>270</v>
      </c>
      <c r="I1139" s="188">
        <v>269</v>
      </c>
      <c r="J1139" s="188">
        <f>+I1139*H1139</f>
        <v>72630</v>
      </c>
      <c r="K1139" s="232">
        <v>44469</v>
      </c>
      <c r="L1139" s="192"/>
      <c r="M1139" s="452"/>
      <c r="N1139" s="452"/>
      <c r="O1139" s="452"/>
    </row>
    <row r="1140" spans="1:18" s="351" customFormat="1" ht="13.5" customHeight="1" x14ac:dyDescent="0.3">
      <c r="A1140" s="185" t="s">
        <v>3309</v>
      </c>
      <c r="B1140" s="352" t="s">
        <v>1326</v>
      </c>
      <c r="C1140" s="187" t="s">
        <v>2076</v>
      </c>
      <c r="D1140" s="225" t="s">
        <v>3537</v>
      </c>
      <c r="E1140" s="190">
        <v>30</v>
      </c>
      <c r="F1140" s="227" t="s">
        <v>20</v>
      </c>
      <c r="G1140" s="233">
        <v>44469</v>
      </c>
      <c r="H1140" s="252">
        <v>240</v>
      </c>
      <c r="I1140" s="188">
        <v>440</v>
      </c>
      <c r="J1140" s="188">
        <f>+I1140*H1140</f>
        <v>105600</v>
      </c>
      <c r="K1140" s="232">
        <v>44469</v>
      </c>
      <c r="L1140" s="192"/>
      <c r="M1140" s="452"/>
      <c r="N1140" s="452"/>
      <c r="O1140" s="452"/>
      <c r="Q1140" s="351">
        <f>+U1139+1</f>
        <v>1</v>
      </c>
      <c r="R1140" s="351" t="s">
        <v>34</v>
      </c>
    </row>
    <row r="1141" spans="1:18" s="351" customFormat="1" ht="13.5" customHeight="1" x14ac:dyDescent="0.3">
      <c r="A1141" s="185" t="s">
        <v>3267</v>
      </c>
      <c r="B1141" s="352" t="s">
        <v>1785</v>
      </c>
      <c r="C1141" s="187" t="s">
        <v>331</v>
      </c>
      <c r="D1141" s="225" t="s">
        <v>3601</v>
      </c>
      <c r="E1141" s="190" t="s">
        <v>5</v>
      </c>
      <c r="F1141" s="227"/>
      <c r="G1141" s="233">
        <v>44476</v>
      </c>
      <c r="H1141" s="252">
        <v>107.74</v>
      </c>
      <c r="I1141" s="188">
        <v>319.13</v>
      </c>
      <c r="J1141" s="188">
        <v>34383.066200000001</v>
      </c>
      <c r="K1141" s="232">
        <v>44480</v>
      </c>
      <c r="L1141" s="192"/>
      <c r="M1141" s="457">
        <v>44477</v>
      </c>
      <c r="N1141" s="457"/>
      <c r="O1141" s="457"/>
    </row>
    <row r="1142" spans="1:18" s="351" customFormat="1" ht="13.5" customHeight="1" x14ac:dyDescent="0.3">
      <c r="A1142" s="185" t="s">
        <v>3269</v>
      </c>
      <c r="B1142" s="352" t="s">
        <v>1785</v>
      </c>
      <c r="C1142" s="187" t="s">
        <v>331</v>
      </c>
      <c r="D1142" s="225" t="s">
        <v>3602</v>
      </c>
      <c r="E1142" s="190" t="s">
        <v>5</v>
      </c>
      <c r="F1142" s="227"/>
      <c r="G1142" s="233">
        <v>44480</v>
      </c>
      <c r="H1142" s="252">
        <v>215.52</v>
      </c>
      <c r="I1142" s="188">
        <v>308.29000000000002</v>
      </c>
      <c r="J1142" s="188">
        <v>66442.660800000012</v>
      </c>
      <c r="K1142" s="232">
        <v>44480</v>
      </c>
      <c r="L1142" s="192"/>
      <c r="M1142" s="457">
        <v>44477</v>
      </c>
      <c r="N1142" s="457"/>
      <c r="O1142" s="457"/>
    </row>
    <row r="1143" spans="1:18" s="351" customFormat="1" ht="13.5" customHeight="1" x14ac:dyDescent="0.3">
      <c r="A1143" s="185" t="s">
        <v>3608</v>
      </c>
      <c r="B1143" s="352" t="s">
        <v>1649</v>
      </c>
      <c r="C1143" s="187" t="s">
        <v>331</v>
      </c>
      <c r="D1143" s="225" t="s">
        <v>3609</v>
      </c>
      <c r="E1143" s="190">
        <v>30</v>
      </c>
      <c r="F1143" s="227" t="s">
        <v>45</v>
      </c>
      <c r="G1143" s="233">
        <v>44457</v>
      </c>
      <c r="H1143" s="252">
        <v>621</v>
      </c>
      <c r="I1143" s="188">
        <v>269</v>
      </c>
      <c r="J1143" s="188">
        <v>167049</v>
      </c>
      <c r="K1143" s="232">
        <v>44480</v>
      </c>
      <c r="L1143" s="192"/>
      <c r="M1143" s="457"/>
      <c r="N1143" s="457"/>
      <c r="O1143" s="457"/>
    </row>
    <row r="1144" spans="1:18" s="351" customFormat="1" ht="13.5" customHeight="1" x14ac:dyDescent="0.3">
      <c r="A1144" s="185" t="s">
        <v>3508</v>
      </c>
      <c r="B1144" s="352" t="s">
        <v>1595</v>
      </c>
      <c r="C1144" s="187" t="s">
        <v>928</v>
      </c>
      <c r="D1144" s="225" t="s">
        <v>552</v>
      </c>
      <c r="E1144" s="190" t="s">
        <v>5</v>
      </c>
      <c r="F1144" s="227"/>
      <c r="G1144" s="233">
        <v>44473</v>
      </c>
      <c r="H1144" s="252">
        <v>2500</v>
      </c>
      <c r="I1144" s="188">
        <v>280</v>
      </c>
      <c r="J1144" s="188">
        <v>700000</v>
      </c>
      <c r="K1144" s="232">
        <v>44481</v>
      </c>
      <c r="L1144" s="192"/>
      <c r="M1144" s="457">
        <v>44475</v>
      </c>
      <c r="N1144" s="457"/>
      <c r="O1144" s="457"/>
    </row>
    <row r="1145" spans="1:18" s="351" customFormat="1" ht="13.5" customHeight="1" x14ac:dyDescent="0.25">
      <c r="A1145" s="185" t="s">
        <v>3542</v>
      </c>
      <c r="B1145" s="352" t="s">
        <v>653</v>
      </c>
      <c r="C1145" s="187" t="s">
        <v>1497</v>
      </c>
      <c r="D1145" s="225" t="s">
        <v>3604</v>
      </c>
      <c r="E1145" s="190" t="s">
        <v>5</v>
      </c>
      <c r="F1145" s="227"/>
      <c r="G1145" s="233">
        <v>44476</v>
      </c>
      <c r="H1145" s="252">
        <v>360</v>
      </c>
      <c r="I1145" s="188">
        <v>766</v>
      </c>
      <c r="J1145" s="188">
        <v>275760</v>
      </c>
      <c r="K1145" s="232">
        <v>44481</v>
      </c>
      <c r="L1145" s="192"/>
      <c r="M1145" s="457">
        <v>44477</v>
      </c>
      <c r="N1145" s="457"/>
      <c r="O1145" s="457"/>
    </row>
    <row r="1146" spans="1:18" s="351" customFormat="1" ht="13.5" customHeight="1" x14ac:dyDescent="0.25">
      <c r="A1146" s="185" t="s">
        <v>3543</v>
      </c>
      <c r="B1146" s="352" t="s">
        <v>653</v>
      </c>
      <c r="C1146" s="187" t="s">
        <v>1497</v>
      </c>
      <c r="D1146" s="225" t="s">
        <v>3605</v>
      </c>
      <c r="E1146" s="190" t="s">
        <v>5</v>
      </c>
      <c r="F1146" s="227"/>
      <c r="G1146" s="233">
        <v>44474</v>
      </c>
      <c r="H1146" s="252">
        <v>360</v>
      </c>
      <c r="I1146" s="188">
        <v>771</v>
      </c>
      <c r="J1146" s="188">
        <v>277560</v>
      </c>
      <c r="K1146" s="232">
        <v>44481</v>
      </c>
      <c r="L1146" s="192"/>
      <c r="M1146" s="457">
        <v>44477</v>
      </c>
      <c r="N1146" s="457"/>
      <c r="O1146" s="457"/>
    </row>
    <row r="1147" spans="1:18" s="351" customFormat="1" ht="13.5" customHeight="1" x14ac:dyDescent="0.3">
      <c r="A1147" s="185" t="s">
        <v>2917</v>
      </c>
      <c r="B1147" s="352" t="s">
        <v>1293</v>
      </c>
      <c r="C1147" s="187" t="s">
        <v>280</v>
      </c>
      <c r="D1147" s="225" t="s">
        <v>3289</v>
      </c>
      <c r="E1147" s="190">
        <v>90</v>
      </c>
      <c r="F1147" s="227" t="s">
        <v>20</v>
      </c>
      <c r="G1147" s="233">
        <v>44476</v>
      </c>
      <c r="H1147" s="252">
        <v>350</v>
      </c>
      <c r="I1147" s="188">
        <v>299</v>
      </c>
      <c r="J1147" s="188">
        <v>104650</v>
      </c>
      <c r="K1147" s="232">
        <v>44481</v>
      </c>
      <c r="L1147" s="192"/>
      <c r="M1147" s="457">
        <v>44477</v>
      </c>
      <c r="N1147" s="457"/>
      <c r="O1147" s="457"/>
    </row>
    <row r="1148" spans="1:18" s="351" customFormat="1" ht="13.5" customHeight="1" x14ac:dyDescent="0.3">
      <c r="A1148" s="185" t="s">
        <v>3463</v>
      </c>
      <c r="B1148" s="352" t="s">
        <v>1649</v>
      </c>
      <c r="C1148" s="187" t="s">
        <v>331</v>
      </c>
      <c r="D1148" s="225" t="s">
        <v>3572</v>
      </c>
      <c r="E1148" s="190">
        <v>30</v>
      </c>
      <c r="F1148" s="227" t="s">
        <v>45</v>
      </c>
      <c r="G1148" s="233">
        <v>44482</v>
      </c>
      <c r="H1148" s="252">
        <v>270</v>
      </c>
      <c r="I1148" s="188">
        <v>296.06</v>
      </c>
      <c r="J1148" s="188">
        <v>79936.2</v>
      </c>
      <c r="K1148" s="232">
        <v>44481</v>
      </c>
      <c r="L1148" s="192"/>
      <c r="M1148" s="457">
        <v>44477</v>
      </c>
      <c r="N1148" s="457"/>
      <c r="O1148" s="457"/>
    </row>
    <row r="1149" spans="1:18" s="351" customFormat="1" ht="13.5" customHeight="1" x14ac:dyDescent="0.3">
      <c r="A1149" s="185" t="s">
        <v>3467</v>
      </c>
      <c r="B1149" s="352" t="s">
        <v>1649</v>
      </c>
      <c r="C1149" s="187" t="s">
        <v>331</v>
      </c>
      <c r="D1149" s="225" t="s">
        <v>3561</v>
      </c>
      <c r="E1149" s="190">
        <v>30</v>
      </c>
      <c r="F1149" s="227" t="s">
        <v>45</v>
      </c>
      <c r="G1149" s="233">
        <v>44480</v>
      </c>
      <c r="H1149" s="252">
        <v>270</v>
      </c>
      <c r="I1149" s="188">
        <v>296.06</v>
      </c>
      <c r="J1149" s="188">
        <v>79936.2</v>
      </c>
      <c r="K1149" s="232">
        <v>44481</v>
      </c>
      <c r="L1149" s="192"/>
      <c r="M1149" s="457">
        <v>44477</v>
      </c>
      <c r="N1149" s="457"/>
      <c r="O1149" s="457"/>
    </row>
    <row r="1150" spans="1:18" s="351" customFormat="1" ht="13.5" customHeight="1" x14ac:dyDescent="0.3">
      <c r="A1150" s="185" t="s">
        <v>3471</v>
      </c>
      <c r="B1150" s="352" t="s">
        <v>1649</v>
      </c>
      <c r="C1150" s="187" t="s">
        <v>331</v>
      </c>
      <c r="D1150" s="225" t="s">
        <v>3564</v>
      </c>
      <c r="E1150" s="190">
        <v>30</v>
      </c>
      <c r="F1150" s="227" t="s">
        <v>45</v>
      </c>
      <c r="G1150" s="233">
        <v>44483</v>
      </c>
      <c r="H1150" s="252">
        <v>270</v>
      </c>
      <c r="I1150" s="188">
        <v>296.06</v>
      </c>
      <c r="J1150" s="188">
        <v>79936.2</v>
      </c>
      <c r="K1150" s="232">
        <v>44481</v>
      </c>
      <c r="L1150" s="192"/>
      <c r="M1150" s="457">
        <v>44477</v>
      </c>
      <c r="N1150" s="457"/>
      <c r="O1150" s="457"/>
    </row>
    <row r="1151" spans="1:18" s="351" customFormat="1" ht="13.5" customHeight="1" x14ac:dyDescent="0.3">
      <c r="A1151" s="185" t="s">
        <v>2716</v>
      </c>
      <c r="B1151" s="352" t="s">
        <v>502</v>
      </c>
      <c r="C1151" s="187" t="s">
        <v>1497</v>
      </c>
      <c r="D1151" s="225" t="s">
        <v>3465</v>
      </c>
      <c r="E1151" s="190">
        <v>90</v>
      </c>
      <c r="F1151" s="227" t="s">
        <v>20</v>
      </c>
      <c r="G1151" s="233">
        <v>44484</v>
      </c>
      <c r="H1151" s="252">
        <v>81</v>
      </c>
      <c r="I1151" s="188">
        <v>590</v>
      </c>
      <c r="J1151" s="188">
        <v>47790</v>
      </c>
      <c r="K1151" s="232">
        <v>44481</v>
      </c>
      <c r="L1151" s="192"/>
      <c r="M1151" s="457">
        <v>44477</v>
      </c>
      <c r="N1151" s="457"/>
      <c r="O1151" s="457"/>
    </row>
    <row r="1152" spans="1:18" s="351" customFormat="1" ht="13.5" customHeight="1" x14ac:dyDescent="0.3">
      <c r="A1152" s="185" t="s">
        <v>2917</v>
      </c>
      <c r="B1152" s="352" t="s">
        <v>1293</v>
      </c>
      <c r="C1152" s="187" t="s">
        <v>280</v>
      </c>
      <c r="D1152" s="225" t="s">
        <v>3289</v>
      </c>
      <c r="E1152" s="190">
        <v>90</v>
      </c>
      <c r="F1152" s="227" t="s">
        <v>20</v>
      </c>
      <c r="G1152" s="233">
        <v>44476</v>
      </c>
      <c r="H1152" s="252">
        <v>350</v>
      </c>
      <c r="I1152" s="188">
        <v>299</v>
      </c>
      <c r="J1152" s="188">
        <v>104650</v>
      </c>
      <c r="K1152" s="232">
        <v>44481</v>
      </c>
      <c r="L1152" s="192"/>
      <c r="M1152" s="457">
        <v>44477</v>
      </c>
      <c r="N1152" s="457"/>
      <c r="O1152" s="457"/>
    </row>
    <row r="1153" spans="1:15" s="351" customFormat="1" ht="13.5" customHeight="1" x14ac:dyDescent="0.3">
      <c r="A1153" s="185" t="s">
        <v>3460</v>
      </c>
      <c r="B1153" s="352" t="s">
        <v>1785</v>
      </c>
      <c r="C1153" s="187" t="s">
        <v>331</v>
      </c>
      <c r="D1153" s="225" t="s">
        <v>3615</v>
      </c>
      <c r="E1153" s="190" t="s">
        <v>5</v>
      </c>
      <c r="F1153" s="227"/>
      <c r="G1153" s="233">
        <v>44481</v>
      </c>
      <c r="H1153" s="252">
        <v>161.19999999999999</v>
      </c>
      <c r="I1153" s="188">
        <v>319.24</v>
      </c>
      <c r="J1153" s="188">
        <v>51461.487999999998</v>
      </c>
      <c r="K1153" s="232">
        <v>44483</v>
      </c>
      <c r="L1153" s="192"/>
      <c r="M1153" s="457">
        <v>44483</v>
      </c>
      <c r="N1153" s="457"/>
      <c r="O1153" s="457"/>
    </row>
    <row r="1154" spans="1:15" s="351" customFormat="1" ht="13.5" customHeight="1" x14ac:dyDescent="0.3">
      <c r="A1154" s="185" t="s">
        <v>3316</v>
      </c>
      <c r="B1154" s="352" t="s">
        <v>2001</v>
      </c>
      <c r="C1154" s="187" t="s">
        <v>1497</v>
      </c>
      <c r="D1154" s="225" t="s">
        <v>3351</v>
      </c>
      <c r="E1154" s="190">
        <v>90</v>
      </c>
      <c r="F1154" s="227" t="s">
        <v>20</v>
      </c>
      <c r="G1154" s="233">
        <v>44488</v>
      </c>
      <c r="H1154" s="252">
        <v>750</v>
      </c>
      <c r="I1154" s="188">
        <v>214</v>
      </c>
      <c r="J1154" s="188">
        <v>160500</v>
      </c>
      <c r="K1154" s="232">
        <v>44483</v>
      </c>
      <c r="L1154" s="192"/>
      <c r="M1154" s="457">
        <v>44483</v>
      </c>
      <c r="N1154" s="457"/>
      <c r="O1154" s="457"/>
    </row>
    <row r="1155" spans="1:15" s="351" customFormat="1" ht="13.5" customHeight="1" x14ac:dyDescent="0.3">
      <c r="A1155" s="185" t="s">
        <v>3149</v>
      </c>
      <c r="B1155" s="352" t="s">
        <v>2001</v>
      </c>
      <c r="C1155" s="187" t="s">
        <v>1497</v>
      </c>
      <c r="D1155" s="225" t="s">
        <v>3352</v>
      </c>
      <c r="E1155" s="190">
        <v>90</v>
      </c>
      <c r="F1155" s="227" t="s">
        <v>20</v>
      </c>
      <c r="G1155" s="233">
        <v>44488</v>
      </c>
      <c r="H1155" s="252">
        <v>300</v>
      </c>
      <c r="I1155" s="188">
        <v>208</v>
      </c>
      <c r="J1155" s="188">
        <v>62400</v>
      </c>
      <c r="K1155" s="232">
        <v>44483</v>
      </c>
      <c r="L1155" s="192"/>
      <c r="M1155" s="457">
        <v>44483</v>
      </c>
      <c r="N1155" s="457"/>
      <c r="O1155" s="457"/>
    </row>
    <row r="1156" spans="1:15" s="351" customFormat="1" ht="13.5" customHeight="1" x14ac:dyDescent="0.3">
      <c r="A1156" s="185" t="s">
        <v>3150</v>
      </c>
      <c r="B1156" s="352" t="s">
        <v>2001</v>
      </c>
      <c r="C1156" s="187" t="s">
        <v>1497</v>
      </c>
      <c r="D1156" s="225" t="s">
        <v>3353</v>
      </c>
      <c r="E1156" s="190">
        <v>90</v>
      </c>
      <c r="F1156" s="227" t="s">
        <v>20</v>
      </c>
      <c r="G1156" s="233">
        <v>44487</v>
      </c>
      <c r="H1156" s="252">
        <v>200</v>
      </c>
      <c r="I1156" s="188">
        <v>227</v>
      </c>
      <c r="J1156" s="188">
        <v>45400</v>
      </c>
      <c r="K1156" s="232">
        <v>44483</v>
      </c>
      <c r="L1156" s="192"/>
      <c r="M1156" s="457">
        <v>44483</v>
      </c>
      <c r="N1156" s="457"/>
      <c r="O1156" s="457"/>
    </row>
    <row r="1157" spans="1:15" s="351" customFormat="1" ht="13.5" customHeight="1" x14ac:dyDescent="0.25">
      <c r="A1157" s="185" t="s">
        <v>3544</v>
      </c>
      <c r="B1157" s="352" t="s">
        <v>653</v>
      </c>
      <c r="C1157" s="187" t="s">
        <v>1497</v>
      </c>
      <c r="D1157" s="225" t="s">
        <v>3620</v>
      </c>
      <c r="E1157" s="190" t="s">
        <v>5</v>
      </c>
      <c r="F1157" s="227"/>
      <c r="G1157" s="233">
        <v>44484</v>
      </c>
      <c r="H1157" s="252">
        <v>384</v>
      </c>
      <c r="I1157" s="188">
        <v>766</v>
      </c>
      <c r="J1157" s="188">
        <f>+I1157*H1157</f>
        <v>294144</v>
      </c>
      <c r="K1157" s="232">
        <v>44484</v>
      </c>
      <c r="L1157" s="192"/>
      <c r="M1157" s="458">
        <v>44483</v>
      </c>
      <c r="N1157" s="458"/>
      <c r="O1157" s="458"/>
    </row>
    <row r="1158" spans="1:15" s="351" customFormat="1" ht="13.5" customHeight="1" x14ac:dyDescent="0.25">
      <c r="A1158" s="185" t="s">
        <v>3545</v>
      </c>
      <c r="B1158" s="352" t="s">
        <v>653</v>
      </c>
      <c r="C1158" s="187" t="s">
        <v>1497</v>
      </c>
      <c r="D1158" s="225" t="s">
        <v>3621</v>
      </c>
      <c r="E1158" s="190" t="s">
        <v>5</v>
      </c>
      <c r="F1158" s="227"/>
      <c r="G1158" s="233">
        <v>44484</v>
      </c>
      <c r="H1158" s="252">
        <v>408</v>
      </c>
      <c r="I1158" s="188">
        <v>771</v>
      </c>
      <c r="J1158" s="188">
        <f>+I1158*H1158</f>
        <v>314568</v>
      </c>
      <c r="K1158" s="232">
        <v>44484</v>
      </c>
      <c r="L1158" s="192"/>
      <c r="M1158" s="458">
        <v>44483</v>
      </c>
      <c r="N1158" s="458"/>
      <c r="O1158" s="458"/>
    </row>
    <row r="1159" spans="1:15" s="351" customFormat="1" ht="13.5" customHeight="1" x14ac:dyDescent="0.3">
      <c r="A1159" s="185" t="s">
        <v>3263</v>
      </c>
      <c r="B1159" s="352" t="s">
        <v>3272</v>
      </c>
      <c r="C1159" s="187" t="s">
        <v>331</v>
      </c>
      <c r="D1159" s="225" t="s">
        <v>3661</v>
      </c>
      <c r="E1159" s="190" t="s">
        <v>5</v>
      </c>
      <c r="F1159" s="227"/>
      <c r="G1159" s="233">
        <v>44489</v>
      </c>
      <c r="H1159" s="252">
        <v>10</v>
      </c>
      <c r="I1159" s="188">
        <v>8500</v>
      </c>
      <c r="J1159" s="188">
        <v>85000</v>
      </c>
      <c r="K1159" s="232">
        <v>44484</v>
      </c>
      <c r="L1159" s="192"/>
      <c r="M1159" s="461">
        <v>44484</v>
      </c>
      <c r="N1159" s="461"/>
      <c r="O1159" s="461"/>
    </row>
    <row r="1160" spans="1:15" s="351" customFormat="1" ht="13.5" customHeight="1" x14ac:dyDescent="0.3">
      <c r="A1160" s="185" t="s">
        <v>3482</v>
      </c>
      <c r="B1160" s="352" t="s">
        <v>3483</v>
      </c>
      <c r="C1160" s="187" t="s">
        <v>331</v>
      </c>
      <c r="D1160" s="225" t="s">
        <v>3663</v>
      </c>
      <c r="E1160" s="190" t="s">
        <v>5</v>
      </c>
      <c r="F1160" s="227"/>
      <c r="G1160" s="233">
        <v>44489</v>
      </c>
      <c r="H1160" s="252">
        <v>13</v>
      </c>
      <c r="I1160" s="188">
        <v>4400</v>
      </c>
      <c r="J1160" s="188">
        <v>57200</v>
      </c>
      <c r="K1160" s="232">
        <v>44484</v>
      </c>
      <c r="L1160" s="192"/>
      <c r="M1160" s="461">
        <v>44484</v>
      </c>
      <c r="N1160" s="461"/>
      <c r="O1160" s="461"/>
    </row>
    <row r="1161" spans="1:15" s="351" customFormat="1" ht="13.5" customHeight="1" x14ac:dyDescent="0.3">
      <c r="A1161" s="185" t="s">
        <v>3459</v>
      </c>
      <c r="B1161" s="352" t="s">
        <v>1785</v>
      </c>
      <c r="C1161" s="187" t="s">
        <v>331</v>
      </c>
      <c r="D1161" s="225" t="s">
        <v>3662</v>
      </c>
      <c r="E1161" s="190" t="s">
        <v>5</v>
      </c>
      <c r="F1161" s="227"/>
      <c r="G1161" s="233">
        <v>44489</v>
      </c>
      <c r="H1161" s="252">
        <v>214.1</v>
      </c>
      <c r="I1161" s="188">
        <v>319.41000000000003</v>
      </c>
      <c r="J1161" s="188">
        <v>68385.680999999997</v>
      </c>
      <c r="K1161" s="232">
        <v>44484</v>
      </c>
      <c r="L1161" s="192"/>
      <c r="M1161" s="461">
        <v>44484</v>
      </c>
      <c r="N1161" s="461"/>
      <c r="O1161" s="461"/>
    </row>
    <row r="1162" spans="1:15" s="351" customFormat="1" ht="13.5" customHeight="1" x14ac:dyDescent="0.3">
      <c r="A1162" s="185" t="s">
        <v>3469</v>
      </c>
      <c r="B1162" s="352" t="s">
        <v>1649</v>
      </c>
      <c r="C1162" s="187" t="s">
        <v>331</v>
      </c>
      <c r="D1162" s="225" t="s">
        <v>3562</v>
      </c>
      <c r="E1162" s="190">
        <v>30</v>
      </c>
      <c r="F1162" s="227" t="s">
        <v>45</v>
      </c>
      <c r="G1162" s="233">
        <v>44487</v>
      </c>
      <c r="H1162" s="252">
        <v>270</v>
      </c>
      <c r="I1162" s="188">
        <v>296.06</v>
      </c>
      <c r="J1162" s="188">
        <v>79936.2</v>
      </c>
      <c r="K1162" s="232">
        <v>44487</v>
      </c>
      <c r="L1162" s="192"/>
      <c r="M1162" s="461">
        <v>44484</v>
      </c>
      <c r="N1162" s="461"/>
      <c r="O1162" s="461"/>
    </row>
    <row r="1163" spans="1:15" s="351" customFormat="1" ht="13.5" customHeight="1" x14ac:dyDescent="0.3">
      <c r="A1163" s="185" t="s">
        <v>3470</v>
      </c>
      <c r="B1163" s="352" t="s">
        <v>1649</v>
      </c>
      <c r="C1163" s="187" t="s">
        <v>331</v>
      </c>
      <c r="D1163" s="225" t="s">
        <v>3563</v>
      </c>
      <c r="E1163" s="190">
        <v>30</v>
      </c>
      <c r="F1163" s="227" t="s">
        <v>45</v>
      </c>
      <c r="G1163" s="233">
        <v>44487</v>
      </c>
      <c r="H1163" s="252">
        <v>270</v>
      </c>
      <c r="I1163" s="188">
        <v>296.06</v>
      </c>
      <c r="J1163" s="188">
        <v>79936.2</v>
      </c>
      <c r="K1163" s="232">
        <v>44487</v>
      </c>
      <c r="L1163" s="192"/>
      <c r="M1163" s="461">
        <v>44484</v>
      </c>
      <c r="N1163" s="461"/>
      <c r="O1163" s="461"/>
    </row>
    <row r="1164" spans="1:15" s="351" customFormat="1" ht="13.5" customHeight="1" x14ac:dyDescent="0.3">
      <c r="A1164" s="185" t="s">
        <v>2872</v>
      </c>
      <c r="B1164" s="352" t="s">
        <v>1325</v>
      </c>
      <c r="C1164" s="187" t="s">
        <v>928</v>
      </c>
      <c r="D1164" s="225" t="s">
        <v>3315</v>
      </c>
      <c r="E1164" s="190">
        <v>90</v>
      </c>
      <c r="F1164" s="227" t="s">
        <v>20</v>
      </c>
      <c r="G1164" s="233">
        <v>44488</v>
      </c>
      <c r="H1164" s="252">
        <v>108.8</v>
      </c>
      <c r="I1164" s="188">
        <v>1388.8700367647059</v>
      </c>
      <c r="J1164" s="188">
        <v>151109.06</v>
      </c>
      <c r="K1164" s="232">
        <v>44488</v>
      </c>
      <c r="L1164" s="192"/>
      <c r="M1164" s="461">
        <v>44484</v>
      </c>
      <c r="N1164" s="461"/>
      <c r="O1164" s="461"/>
    </row>
    <row r="1165" spans="1:15" s="351" customFormat="1" ht="13.5" customHeight="1" x14ac:dyDescent="0.3">
      <c r="A1165" s="185" t="s">
        <v>514</v>
      </c>
      <c r="B1165" s="352" t="s">
        <v>1325</v>
      </c>
      <c r="C1165" s="187" t="s">
        <v>928</v>
      </c>
      <c r="D1165" s="225" t="s">
        <v>3628</v>
      </c>
      <c r="E1165" s="190">
        <v>90</v>
      </c>
      <c r="F1165" s="227" t="s">
        <v>20</v>
      </c>
      <c r="G1165" s="233">
        <v>44488</v>
      </c>
      <c r="H1165" s="252">
        <v>108.8</v>
      </c>
      <c r="I1165" s="188">
        <v>-292.00003676470601</v>
      </c>
      <c r="J1165" s="188">
        <v>-31769.604000000014</v>
      </c>
      <c r="K1165" s="232">
        <v>44488</v>
      </c>
      <c r="L1165" s="192"/>
      <c r="M1165" s="461">
        <v>44484</v>
      </c>
      <c r="N1165" s="461"/>
      <c r="O1165" s="461"/>
    </row>
    <row r="1166" spans="1:15" s="351" customFormat="1" ht="13.5" customHeight="1" x14ac:dyDescent="0.3">
      <c r="A1166" s="185" t="s">
        <v>2876</v>
      </c>
      <c r="B1166" s="352" t="s">
        <v>1293</v>
      </c>
      <c r="C1166" s="187" t="s">
        <v>1497</v>
      </c>
      <c r="D1166" s="225" t="s">
        <v>3402</v>
      </c>
      <c r="E1166" s="190">
        <v>90</v>
      </c>
      <c r="F1166" s="227" t="s">
        <v>20</v>
      </c>
      <c r="G1166" s="233">
        <v>44488</v>
      </c>
      <c r="H1166" s="252">
        <v>350</v>
      </c>
      <c r="I1166" s="188">
        <v>336</v>
      </c>
      <c r="J1166" s="188">
        <v>117600</v>
      </c>
      <c r="K1166" s="232">
        <v>44488</v>
      </c>
      <c r="L1166" s="192"/>
      <c r="M1166" s="461">
        <v>44484</v>
      </c>
      <c r="N1166" s="461"/>
      <c r="O1166" s="461"/>
    </row>
    <row r="1167" spans="1:15" s="351" customFormat="1" ht="13.5" customHeight="1" x14ac:dyDescent="0.25">
      <c r="A1167" s="185" t="s">
        <v>3535</v>
      </c>
      <c r="B1167" s="352" t="s">
        <v>1601</v>
      </c>
      <c r="C1167" s="187" t="s">
        <v>42</v>
      </c>
      <c r="D1167" s="225" t="s">
        <v>3664</v>
      </c>
      <c r="E1167" s="190" t="s">
        <v>5</v>
      </c>
      <c r="F1167" s="227"/>
      <c r="G1167" s="233">
        <v>44493</v>
      </c>
      <c r="H1167" s="252">
        <v>219.96</v>
      </c>
      <c r="I1167" s="188">
        <v>281.07</v>
      </c>
      <c r="J1167" s="188">
        <v>61824.157200000001</v>
      </c>
      <c r="K1167" s="232">
        <v>44489</v>
      </c>
      <c r="L1167" s="192"/>
      <c r="M1167" s="461">
        <v>44487</v>
      </c>
      <c r="N1167" s="461"/>
      <c r="O1167" s="461"/>
    </row>
    <row r="1168" spans="1:15" s="351" customFormat="1" ht="13.5" customHeight="1" x14ac:dyDescent="0.3">
      <c r="A1168" s="185" t="s">
        <v>3468</v>
      </c>
      <c r="B1168" s="352" t="s">
        <v>1649</v>
      </c>
      <c r="C1168" s="187" t="s">
        <v>331</v>
      </c>
      <c r="D1168" s="225" t="s">
        <v>3573</v>
      </c>
      <c r="E1168" s="190">
        <v>30</v>
      </c>
      <c r="F1168" s="227" t="s">
        <v>45</v>
      </c>
      <c r="G1168" s="233">
        <v>44493</v>
      </c>
      <c r="H1168" s="252">
        <v>270</v>
      </c>
      <c r="I1168" s="188">
        <v>296.06</v>
      </c>
      <c r="J1168" s="188">
        <v>79936.2</v>
      </c>
      <c r="K1168" s="232">
        <v>44490</v>
      </c>
      <c r="L1168" s="192"/>
      <c r="M1168" s="461">
        <v>44484</v>
      </c>
      <c r="N1168" s="461"/>
      <c r="O1168" s="461"/>
    </row>
    <row r="1169" spans="1:18" s="351" customFormat="1" ht="13.5" customHeight="1" x14ac:dyDescent="0.3">
      <c r="A1169" s="185" t="s">
        <v>3473</v>
      </c>
      <c r="B1169" s="352" t="s">
        <v>1649</v>
      </c>
      <c r="C1169" s="187" t="s">
        <v>331</v>
      </c>
      <c r="D1169" s="225" t="s">
        <v>3575</v>
      </c>
      <c r="E1169" s="190">
        <v>30</v>
      </c>
      <c r="F1169" s="227" t="s">
        <v>45</v>
      </c>
      <c r="G1169" s="233">
        <v>44492</v>
      </c>
      <c r="H1169" s="252">
        <v>297</v>
      </c>
      <c r="I1169" s="188">
        <v>296.06</v>
      </c>
      <c r="J1169" s="188">
        <v>87929.82</v>
      </c>
      <c r="K1169" s="232">
        <v>44490</v>
      </c>
      <c r="L1169" s="192"/>
      <c r="M1169" s="461">
        <v>44484</v>
      </c>
      <c r="N1169" s="461"/>
      <c r="O1169" s="461"/>
    </row>
    <row r="1170" spans="1:18" s="351" customFormat="1" ht="13.5" customHeight="1" x14ac:dyDescent="0.25">
      <c r="A1170" s="185" t="s">
        <v>3318</v>
      </c>
      <c r="B1170" s="352" t="s">
        <v>653</v>
      </c>
      <c r="C1170" s="187" t="s">
        <v>1497</v>
      </c>
      <c r="D1170" s="225" t="s">
        <v>3647</v>
      </c>
      <c r="E1170" s="190" t="s">
        <v>5</v>
      </c>
      <c r="F1170" s="227"/>
      <c r="G1170" s="233">
        <v>44491</v>
      </c>
      <c r="H1170" s="252">
        <v>528</v>
      </c>
      <c r="I1170" s="188">
        <v>756</v>
      </c>
      <c r="J1170" s="188">
        <v>399168</v>
      </c>
      <c r="K1170" s="232">
        <v>44490</v>
      </c>
      <c r="L1170" s="192"/>
      <c r="M1170" s="461">
        <v>44489</v>
      </c>
      <c r="N1170" s="461"/>
      <c r="O1170" s="461"/>
    </row>
    <row r="1171" spans="1:18" s="351" customFormat="1" ht="13.5" customHeight="1" x14ac:dyDescent="0.25">
      <c r="A1171" s="185" t="s">
        <v>3534</v>
      </c>
      <c r="B1171" s="352" t="s">
        <v>1601</v>
      </c>
      <c r="C1171" s="187" t="s">
        <v>42</v>
      </c>
      <c r="D1171" s="225">
        <v>306031286</v>
      </c>
      <c r="E1171" s="190" t="s">
        <v>5</v>
      </c>
      <c r="F1171" s="227"/>
      <c r="G1171" s="233">
        <v>44493</v>
      </c>
      <c r="H1171" s="252">
        <v>277.3</v>
      </c>
      <c r="I1171" s="188">
        <v>269.83</v>
      </c>
      <c r="J1171" s="188">
        <f>+I1171*H1171</f>
        <v>74823.858999999997</v>
      </c>
      <c r="K1171" s="232">
        <v>44489</v>
      </c>
      <c r="L1171" s="192"/>
      <c r="M1171" s="461">
        <v>44489</v>
      </c>
      <c r="N1171" s="461"/>
      <c r="O1171" s="461"/>
    </row>
    <row r="1172" spans="1:18" s="351" customFormat="1" ht="13.5" customHeight="1" x14ac:dyDescent="0.3">
      <c r="A1172" s="185" t="s">
        <v>3310</v>
      </c>
      <c r="B1172" s="352" t="s">
        <v>1326</v>
      </c>
      <c r="C1172" s="187" t="s">
        <v>2076</v>
      </c>
      <c r="D1172" s="225" t="s">
        <v>3646</v>
      </c>
      <c r="E1172" s="190">
        <v>30</v>
      </c>
      <c r="F1172" s="227" t="s">
        <v>20</v>
      </c>
      <c r="G1172" s="233">
        <v>44496</v>
      </c>
      <c r="H1172" s="252">
        <v>240</v>
      </c>
      <c r="I1172" s="188">
        <v>440</v>
      </c>
      <c r="J1172" s="188">
        <f>+I1172*H1172</f>
        <v>105600</v>
      </c>
      <c r="K1172" s="232">
        <v>44494</v>
      </c>
      <c r="L1172" s="192"/>
      <c r="M1172" s="461">
        <v>44491</v>
      </c>
      <c r="N1172" s="461"/>
      <c r="O1172" s="461"/>
      <c r="Q1172" s="351">
        <f>+U1171+1</f>
        <v>1</v>
      </c>
      <c r="R1172" s="351" t="s">
        <v>34</v>
      </c>
    </row>
    <row r="1173" spans="1:18" s="351" customFormat="1" ht="13.5" customHeight="1" x14ac:dyDescent="0.3">
      <c r="A1173" s="185" t="s">
        <v>3159</v>
      </c>
      <c r="B1173" s="352" t="s">
        <v>1785</v>
      </c>
      <c r="C1173" s="187" t="s">
        <v>331</v>
      </c>
      <c r="D1173" s="225" t="s">
        <v>3666</v>
      </c>
      <c r="E1173" s="190" t="s">
        <v>5</v>
      </c>
      <c r="F1173" s="227"/>
      <c r="G1173" s="233">
        <v>44489</v>
      </c>
      <c r="H1173" s="252">
        <v>53.65</v>
      </c>
      <c r="I1173" s="188">
        <v>368.9</v>
      </c>
      <c r="J1173" s="188">
        <v>19791.484999999997</v>
      </c>
      <c r="K1173" s="232">
        <v>44495</v>
      </c>
      <c r="L1173" s="192"/>
      <c r="M1173" s="467">
        <v>44492</v>
      </c>
      <c r="N1173" s="467"/>
      <c r="O1173" s="467"/>
    </row>
    <row r="1174" spans="1:18" s="351" customFormat="1" ht="13.5" customHeight="1" x14ac:dyDescent="0.3">
      <c r="A1174" s="185" t="s">
        <v>3427</v>
      </c>
      <c r="B1174" s="352" t="s">
        <v>3002</v>
      </c>
      <c r="C1174" s="187" t="s">
        <v>331</v>
      </c>
      <c r="D1174" s="225" t="s">
        <v>3669</v>
      </c>
      <c r="E1174" s="190" t="s">
        <v>5</v>
      </c>
      <c r="F1174" s="227"/>
      <c r="G1174" s="233">
        <v>44489</v>
      </c>
      <c r="H1174" s="252">
        <v>8</v>
      </c>
      <c r="I1174" s="188">
        <v>5560</v>
      </c>
      <c r="J1174" s="188">
        <v>44480</v>
      </c>
      <c r="K1174" s="232">
        <v>44495</v>
      </c>
      <c r="L1174" s="192"/>
      <c r="M1174" s="467">
        <v>44492</v>
      </c>
      <c r="N1174" s="467"/>
      <c r="O1174" s="467"/>
    </row>
    <row r="1175" spans="1:18" s="351" customFormat="1" ht="13.5" customHeight="1" x14ac:dyDescent="0.3">
      <c r="A1175" s="185" t="s">
        <v>3428</v>
      </c>
      <c r="B1175" s="352" t="s">
        <v>3002</v>
      </c>
      <c r="C1175" s="187" t="s">
        <v>331</v>
      </c>
      <c r="D1175" s="225" t="s">
        <v>3670</v>
      </c>
      <c r="E1175" s="190" t="s">
        <v>5</v>
      </c>
      <c r="F1175" s="227"/>
      <c r="G1175" s="233">
        <v>44489</v>
      </c>
      <c r="H1175" s="252">
        <v>16</v>
      </c>
      <c r="I1175" s="188">
        <v>5500</v>
      </c>
      <c r="J1175" s="188">
        <v>88000</v>
      </c>
      <c r="K1175" s="232">
        <v>44495</v>
      </c>
      <c r="L1175" s="192"/>
      <c r="M1175" s="467">
        <v>44492</v>
      </c>
      <c r="N1175" s="467"/>
      <c r="O1175" s="467"/>
    </row>
    <row r="1176" spans="1:18" s="351" customFormat="1" ht="13.5" customHeight="1" x14ac:dyDescent="0.3">
      <c r="A1176" s="185" t="s">
        <v>3595</v>
      </c>
      <c r="B1176" s="352" t="s">
        <v>1782</v>
      </c>
      <c r="C1176" s="187" t="s">
        <v>331</v>
      </c>
      <c r="D1176" s="225" t="s">
        <v>3671</v>
      </c>
      <c r="E1176" s="190" t="s">
        <v>5</v>
      </c>
      <c r="F1176" s="227"/>
      <c r="G1176" s="233">
        <v>44496</v>
      </c>
      <c r="H1176" s="252">
        <v>242</v>
      </c>
      <c r="I1176" s="188">
        <v>725</v>
      </c>
      <c r="J1176" s="188">
        <v>175450</v>
      </c>
      <c r="K1176" s="232">
        <v>44495</v>
      </c>
      <c r="L1176" s="192"/>
      <c r="M1176" s="467">
        <v>44492</v>
      </c>
      <c r="N1176" s="467"/>
      <c r="O1176" s="467"/>
    </row>
    <row r="1177" spans="1:18" s="351" customFormat="1" ht="13.5" customHeight="1" x14ac:dyDescent="0.3">
      <c r="A1177" s="185" t="s">
        <v>3596</v>
      </c>
      <c r="B1177" s="352" t="s">
        <v>1782</v>
      </c>
      <c r="C1177" s="187" t="s">
        <v>331</v>
      </c>
      <c r="D1177" s="225" t="s">
        <v>3672</v>
      </c>
      <c r="E1177" s="190" t="s">
        <v>5</v>
      </c>
      <c r="F1177" s="227"/>
      <c r="G1177" s="233">
        <v>44496</v>
      </c>
      <c r="H1177" s="252">
        <v>264</v>
      </c>
      <c r="I1177" s="188">
        <v>725</v>
      </c>
      <c r="J1177" s="188">
        <v>191400</v>
      </c>
      <c r="K1177" s="232">
        <v>44495</v>
      </c>
      <c r="L1177" s="192"/>
      <c r="M1177" s="467">
        <v>44492</v>
      </c>
      <c r="N1177" s="467"/>
      <c r="O1177" s="467"/>
    </row>
    <row r="1178" spans="1:18" s="351" customFormat="1" ht="13.5" customHeight="1" x14ac:dyDescent="0.3">
      <c r="A1178" s="185" t="s">
        <v>3531</v>
      </c>
      <c r="B1178" s="352" t="s">
        <v>1782</v>
      </c>
      <c r="C1178" s="187" t="s">
        <v>331</v>
      </c>
      <c r="D1178" s="225" t="s">
        <v>3694</v>
      </c>
      <c r="E1178" s="190" t="s">
        <v>5</v>
      </c>
      <c r="F1178" s="227"/>
      <c r="G1178" s="233">
        <v>44504</v>
      </c>
      <c r="H1178" s="252">
        <v>198</v>
      </c>
      <c r="I1178" s="188">
        <v>706.23</v>
      </c>
      <c r="J1178" s="188">
        <f t="shared" ref="J1178" si="39">+I1178*H1178</f>
        <v>139833.54</v>
      </c>
      <c r="K1178" s="232">
        <v>44496</v>
      </c>
      <c r="L1178" s="192"/>
      <c r="M1178" s="467">
        <v>44494</v>
      </c>
      <c r="N1178" s="467"/>
      <c r="O1178" s="467"/>
    </row>
    <row r="1179" spans="1:18" s="351" customFormat="1" ht="13.5" customHeight="1" x14ac:dyDescent="0.3">
      <c r="A1179" s="185" t="s">
        <v>3472</v>
      </c>
      <c r="B1179" s="352" t="s">
        <v>1649</v>
      </c>
      <c r="C1179" s="187" t="s">
        <v>331</v>
      </c>
      <c r="D1179" s="225" t="s">
        <v>3574</v>
      </c>
      <c r="E1179" s="190">
        <v>30</v>
      </c>
      <c r="F1179" s="227" t="s">
        <v>45</v>
      </c>
      <c r="G1179" s="233">
        <v>44498</v>
      </c>
      <c r="H1179" s="252">
        <v>351</v>
      </c>
      <c r="I1179" s="188">
        <v>296.06</v>
      </c>
      <c r="J1179" s="188">
        <v>103917.06</v>
      </c>
      <c r="K1179" s="232">
        <v>44496</v>
      </c>
      <c r="L1179" s="192"/>
      <c r="M1179" s="467">
        <v>44491</v>
      </c>
      <c r="N1179" s="467"/>
      <c r="O1179" s="467"/>
    </row>
    <row r="1180" spans="1:18" s="351" customFormat="1" ht="13.5" customHeight="1" x14ac:dyDescent="0.3">
      <c r="A1180" s="185" t="s">
        <v>3474</v>
      </c>
      <c r="B1180" s="352" t="s">
        <v>1649</v>
      </c>
      <c r="C1180" s="187" t="s">
        <v>331</v>
      </c>
      <c r="D1180" s="225" t="s">
        <v>3576</v>
      </c>
      <c r="E1180" s="190">
        <v>30</v>
      </c>
      <c r="F1180" s="227" t="s">
        <v>45</v>
      </c>
      <c r="G1180" s="233">
        <v>44498</v>
      </c>
      <c r="H1180" s="252">
        <v>270</v>
      </c>
      <c r="I1180" s="188">
        <v>296.06</v>
      </c>
      <c r="J1180" s="188">
        <v>79936.2</v>
      </c>
      <c r="K1180" s="232">
        <v>44496</v>
      </c>
      <c r="L1180" s="192"/>
      <c r="M1180" s="467">
        <v>44491</v>
      </c>
      <c r="N1180" s="467"/>
      <c r="O1180" s="467"/>
    </row>
    <row r="1181" spans="1:18" s="351" customFormat="1" ht="13.5" customHeight="1" x14ac:dyDescent="0.3">
      <c r="A1181" s="185" t="s">
        <v>3475</v>
      </c>
      <c r="B1181" s="352" t="s">
        <v>1649</v>
      </c>
      <c r="C1181" s="187" t="s">
        <v>331</v>
      </c>
      <c r="D1181" s="225" t="s">
        <v>3577</v>
      </c>
      <c r="E1181" s="190">
        <v>30</v>
      </c>
      <c r="F1181" s="227" t="s">
        <v>45</v>
      </c>
      <c r="G1181" s="233">
        <v>44498</v>
      </c>
      <c r="H1181" s="252">
        <v>351</v>
      </c>
      <c r="I1181" s="188">
        <v>296.06</v>
      </c>
      <c r="J1181" s="188">
        <v>103917.06</v>
      </c>
      <c r="K1181" s="232">
        <v>44496</v>
      </c>
      <c r="L1181" s="192"/>
      <c r="M1181" s="467">
        <v>44491</v>
      </c>
      <c r="N1181" s="467"/>
      <c r="O1181" s="467"/>
    </row>
    <row r="1182" spans="1:18" s="351" customFormat="1" ht="13.5" customHeight="1" x14ac:dyDescent="0.3">
      <c r="A1182" s="185" t="s">
        <v>3559</v>
      </c>
      <c r="B1182" s="352" t="s">
        <v>1754</v>
      </c>
      <c r="C1182" s="187" t="s">
        <v>331</v>
      </c>
      <c r="D1182" s="225" t="s">
        <v>3709</v>
      </c>
      <c r="E1182" s="190" t="s">
        <v>5</v>
      </c>
      <c r="F1182" s="227"/>
      <c r="G1182" s="233">
        <v>44501</v>
      </c>
      <c r="H1182" s="252">
        <v>6.4</v>
      </c>
      <c r="I1182" s="188">
        <v>10000</v>
      </c>
      <c r="J1182" s="188">
        <v>64000</v>
      </c>
      <c r="K1182" s="232">
        <v>44503</v>
      </c>
      <c r="L1182" s="192"/>
      <c r="M1182" s="471">
        <v>44502</v>
      </c>
      <c r="N1182" s="471"/>
      <c r="O1182" s="471"/>
    </row>
    <row r="1183" spans="1:18" s="351" customFormat="1" ht="13.5" customHeight="1" x14ac:dyDescent="0.3">
      <c r="A1183" s="185" t="s">
        <v>3477</v>
      </c>
      <c r="B1183" s="352" t="s">
        <v>3478</v>
      </c>
      <c r="C1183" s="187" t="s">
        <v>331</v>
      </c>
      <c r="D1183" s="225" t="s">
        <v>3710</v>
      </c>
      <c r="E1183" s="190" t="s">
        <v>5</v>
      </c>
      <c r="F1183" s="227"/>
      <c r="G1183" s="233">
        <v>44501</v>
      </c>
      <c r="H1183" s="252">
        <v>3.2</v>
      </c>
      <c r="I1183" s="188">
        <v>8600</v>
      </c>
      <c r="J1183" s="188">
        <v>27520</v>
      </c>
      <c r="K1183" s="232">
        <v>44503</v>
      </c>
      <c r="L1183" s="192"/>
      <c r="M1183" s="471">
        <v>44502</v>
      </c>
      <c r="N1183" s="471"/>
      <c r="O1183" s="471"/>
    </row>
    <row r="1184" spans="1:18" s="351" customFormat="1" ht="13.5" customHeight="1" x14ac:dyDescent="0.3">
      <c r="A1184" s="185" t="s">
        <v>3695</v>
      </c>
      <c r="B1184" s="352" t="s">
        <v>1782</v>
      </c>
      <c r="C1184" s="187" t="s">
        <v>331</v>
      </c>
      <c r="D1184" s="225" t="s">
        <v>3711</v>
      </c>
      <c r="E1184" s="190" t="s">
        <v>5</v>
      </c>
      <c r="F1184" s="227"/>
      <c r="G1184" s="233">
        <v>44499</v>
      </c>
      <c r="H1184" s="252">
        <v>110</v>
      </c>
      <c r="I1184" s="188">
        <v>708.73</v>
      </c>
      <c r="J1184" s="188">
        <v>77960.3</v>
      </c>
      <c r="K1184" s="232">
        <v>44503</v>
      </c>
      <c r="L1184" s="192"/>
      <c r="M1184" s="471">
        <v>44502</v>
      </c>
      <c r="N1184" s="471"/>
      <c r="O1184" s="471"/>
    </row>
    <row r="1185" spans="1:15" s="351" customFormat="1" ht="13.5" customHeight="1" x14ac:dyDescent="0.3">
      <c r="A1185" s="185" t="s">
        <v>3565</v>
      </c>
      <c r="B1185" s="352" t="s">
        <v>3481</v>
      </c>
      <c r="C1185" s="187" t="s">
        <v>331</v>
      </c>
      <c r="D1185" s="225" t="s">
        <v>3731</v>
      </c>
      <c r="E1185" s="190" t="s">
        <v>5</v>
      </c>
      <c r="F1185" s="227"/>
      <c r="G1185" s="233">
        <v>44503</v>
      </c>
      <c r="H1185" s="252">
        <v>6.4</v>
      </c>
      <c r="I1185" s="188">
        <v>8000</v>
      </c>
      <c r="J1185" s="188">
        <v>51200</v>
      </c>
      <c r="K1185" s="232">
        <v>44503</v>
      </c>
      <c r="L1185" s="192"/>
      <c r="M1185" s="471">
        <v>44502</v>
      </c>
      <c r="N1185" s="471"/>
      <c r="O1185" s="471"/>
    </row>
    <row r="1186" spans="1:15" s="351" customFormat="1" ht="13.5" customHeight="1" x14ac:dyDescent="0.25">
      <c r="A1186" s="185" t="s">
        <v>3321</v>
      </c>
      <c r="B1186" s="352" t="s">
        <v>1999</v>
      </c>
      <c r="C1186" s="187" t="s">
        <v>1036</v>
      </c>
      <c r="D1186" s="225" t="s">
        <v>3730</v>
      </c>
      <c r="E1186" s="190" t="s">
        <v>5</v>
      </c>
      <c r="F1186" s="227"/>
      <c r="G1186" s="233">
        <v>44487</v>
      </c>
      <c r="H1186" s="252">
        <v>65</v>
      </c>
      <c r="I1186" s="188">
        <v>209</v>
      </c>
      <c r="J1186" s="188">
        <v>13585</v>
      </c>
      <c r="K1186" s="232">
        <v>44504</v>
      </c>
      <c r="L1186" s="192"/>
      <c r="M1186" s="471">
        <v>44502</v>
      </c>
      <c r="N1186" s="471"/>
      <c r="O1186" s="471"/>
    </row>
    <row r="1187" spans="1:15" s="351" customFormat="1" ht="13.5" customHeight="1" x14ac:dyDescent="0.3">
      <c r="A1187" s="185" t="s">
        <v>3160</v>
      </c>
      <c r="B1187" s="352" t="s">
        <v>502</v>
      </c>
      <c r="C1187" s="187" t="s">
        <v>280</v>
      </c>
      <c r="D1187" s="225" t="s">
        <v>3354</v>
      </c>
      <c r="E1187" s="190">
        <v>90</v>
      </c>
      <c r="F1187" s="227" t="s">
        <v>20</v>
      </c>
      <c r="G1187" s="233">
        <v>44508</v>
      </c>
      <c r="H1187" s="252">
        <v>250</v>
      </c>
      <c r="I1187" s="188">
        <v>735</v>
      </c>
      <c r="J1187" s="188">
        <f t="shared" ref="J1187" si="40">+I1187*H1187</f>
        <v>183750</v>
      </c>
      <c r="K1187" s="232">
        <v>44504</v>
      </c>
      <c r="L1187" s="192"/>
      <c r="M1187" s="471">
        <v>44494</v>
      </c>
      <c r="N1187" s="471"/>
      <c r="O1187" s="471"/>
    </row>
    <row r="1188" spans="1:15" s="351" customFormat="1" ht="13.5" customHeight="1" x14ac:dyDescent="0.3">
      <c r="A1188" s="185" t="s">
        <v>3530</v>
      </c>
      <c r="B1188" s="352" t="s">
        <v>1649</v>
      </c>
      <c r="C1188" s="187" t="s">
        <v>331</v>
      </c>
      <c r="D1188" s="225" t="s">
        <v>3623</v>
      </c>
      <c r="E1188" s="190">
        <v>30</v>
      </c>
      <c r="F1188" s="227" t="s">
        <v>45</v>
      </c>
      <c r="G1188" s="233">
        <v>44504</v>
      </c>
      <c r="H1188" s="252">
        <v>270</v>
      </c>
      <c r="I1188" s="188">
        <v>296.06</v>
      </c>
      <c r="J1188" s="188">
        <v>79936.2</v>
      </c>
      <c r="K1188" s="232">
        <v>44504</v>
      </c>
      <c r="L1188" s="192"/>
      <c r="M1188" s="471">
        <v>44494</v>
      </c>
      <c r="N1188" s="471"/>
      <c r="O1188" s="471"/>
    </row>
    <row r="1189" spans="1:15" s="351" customFormat="1" ht="13.5" customHeight="1" x14ac:dyDescent="0.3">
      <c r="A1189" s="185" t="s">
        <v>3684</v>
      </c>
      <c r="B1189" s="352" t="s">
        <v>1649</v>
      </c>
      <c r="C1189" s="187" t="s">
        <v>331</v>
      </c>
      <c r="D1189" s="225" t="s">
        <v>3683</v>
      </c>
      <c r="E1189" s="190">
        <v>30</v>
      </c>
      <c r="F1189" s="227" t="s">
        <v>45</v>
      </c>
      <c r="G1189" s="233">
        <v>44504</v>
      </c>
      <c r="H1189" s="252">
        <v>135</v>
      </c>
      <c r="I1189" s="188">
        <v>296.06</v>
      </c>
      <c r="J1189" s="188">
        <v>39968.1</v>
      </c>
      <c r="K1189" s="232">
        <v>44504</v>
      </c>
      <c r="L1189" s="192"/>
      <c r="M1189" s="471">
        <v>44502</v>
      </c>
      <c r="N1189" s="471"/>
      <c r="O1189" s="471"/>
    </row>
    <row r="1190" spans="1:15" s="351" customFormat="1" ht="13.5" customHeight="1" x14ac:dyDescent="0.3">
      <c r="A1190" s="185" t="s">
        <v>3617</v>
      </c>
      <c r="B1190" s="352" t="s">
        <v>1649</v>
      </c>
      <c r="C1190" s="187" t="s">
        <v>331</v>
      </c>
      <c r="D1190" s="225" t="s">
        <v>3686</v>
      </c>
      <c r="E1190" s="190">
        <v>30</v>
      </c>
      <c r="F1190" s="227" t="s">
        <v>45</v>
      </c>
      <c r="G1190" s="233">
        <v>44505</v>
      </c>
      <c r="H1190" s="252">
        <v>243</v>
      </c>
      <c r="I1190" s="188">
        <v>296.06</v>
      </c>
      <c r="J1190" s="188">
        <v>71942.58</v>
      </c>
      <c r="K1190" s="232">
        <v>44504</v>
      </c>
      <c r="L1190" s="192"/>
      <c r="M1190" s="471">
        <v>44502</v>
      </c>
      <c r="N1190" s="471"/>
      <c r="O1190" s="471"/>
    </row>
    <row r="1191" spans="1:15" s="351" customFormat="1" ht="13.5" customHeight="1" x14ac:dyDescent="0.3">
      <c r="A1191" s="185" t="s">
        <v>3734</v>
      </c>
      <c r="B1191" s="352" t="s">
        <v>1782</v>
      </c>
      <c r="C1191" s="187" t="s">
        <v>331</v>
      </c>
      <c r="D1191" s="225" t="s">
        <v>3716</v>
      </c>
      <c r="E1191" s="190" t="s">
        <v>5</v>
      </c>
      <c r="F1191" s="227"/>
      <c r="G1191" s="233">
        <v>44501</v>
      </c>
      <c r="H1191" s="252">
        <v>616</v>
      </c>
      <c r="I1191" s="188">
        <v>723.41</v>
      </c>
      <c r="J1191" s="188">
        <v>445620.56</v>
      </c>
      <c r="K1191" s="232">
        <v>44504</v>
      </c>
      <c r="L1191" s="192"/>
      <c r="M1191" s="471">
        <v>44502</v>
      </c>
      <c r="N1191" s="471"/>
      <c r="O1191" s="471"/>
    </row>
    <row r="1192" spans="1:15" s="351" customFormat="1" ht="13.5" customHeight="1" x14ac:dyDescent="0.3">
      <c r="A1192" s="185" t="s">
        <v>3624</v>
      </c>
      <c r="B1192" s="352" t="s">
        <v>1649</v>
      </c>
      <c r="C1192" s="187" t="s">
        <v>331</v>
      </c>
      <c r="D1192" s="225" t="s">
        <v>3682</v>
      </c>
      <c r="E1192" s="190">
        <v>30</v>
      </c>
      <c r="F1192" s="227" t="s">
        <v>45</v>
      </c>
      <c r="G1192" s="233">
        <v>44507</v>
      </c>
      <c r="H1192" s="252">
        <v>540</v>
      </c>
      <c r="I1192" s="188">
        <v>296.06</v>
      </c>
      <c r="J1192" s="188">
        <v>159872.4</v>
      </c>
      <c r="K1192" s="232">
        <v>44505</v>
      </c>
      <c r="L1192" s="192"/>
      <c r="M1192" s="472"/>
      <c r="N1192" s="472"/>
      <c r="O1192" s="472"/>
    </row>
    <row r="1193" spans="1:15" s="351" customFormat="1" ht="13.5" customHeight="1" x14ac:dyDescent="0.3">
      <c r="A1193" s="185" t="s">
        <v>3476</v>
      </c>
      <c r="B1193" s="352" t="s">
        <v>1649</v>
      </c>
      <c r="C1193" s="187" t="s">
        <v>331</v>
      </c>
      <c r="D1193" s="225" t="s">
        <v>3622</v>
      </c>
      <c r="E1193" s="190">
        <v>30</v>
      </c>
      <c r="F1193" s="227" t="s">
        <v>45</v>
      </c>
      <c r="G1193" s="233">
        <v>44508</v>
      </c>
      <c r="H1193" s="252">
        <v>108</v>
      </c>
      <c r="I1193" s="188">
        <v>296.06</v>
      </c>
      <c r="J1193" s="188">
        <v>31974.48</v>
      </c>
      <c r="K1193" s="232">
        <v>44505</v>
      </c>
      <c r="L1193" s="192"/>
      <c r="M1193" s="472"/>
      <c r="N1193" s="472"/>
      <c r="O1193" s="472"/>
    </row>
    <row r="1194" spans="1:15" s="351" customFormat="1" ht="13.5" customHeight="1" x14ac:dyDescent="0.25">
      <c r="A1194" s="185" t="s">
        <v>3729</v>
      </c>
      <c r="B1194" s="352" t="s">
        <v>1409</v>
      </c>
      <c r="C1194" s="187" t="s">
        <v>1433</v>
      </c>
      <c r="D1194" s="225" t="s">
        <v>552</v>
      </c>
      <c r="E1194" s="190" t="s">
        <v>158</v>
      </c>
      <c r="F1194" s="227"/>
      <c r="G1194" s="233">
        <v>44505</v>
      </c>
      <c r="H1194" s="252">
        <v>12200</v>
      </c>
      <c r="I1194" s="188">
        <v>760</v>
      </c>
      <c r="J1194" s="188">
        <v>3572000</v>
      </c>
      <c r="K1194" s="232">
        <v>44505</v>
      </c>
      <c r="L1194" s="192" t="s">
        <v>3790</v>
      </c>
      <c r="M1194" s="473">
        <v>44505</v>
      </c>
      <c r="N1194" s="473"/>
      <c r="O1194" s="473"/>
    </row>
    <row r="1195" spans="1:15" s="351" customFormat="1" ht="13.5" customHeight="1" x14ac:dyDescent="0.3">
      <c r="A1195" s="185" t="s">
        <v>3599</v>
      </c>
      <c r="B1195" s="352" t="s">
        <v>1649</v>
      </c>
      <c r="C1195" s="187" t="s">
        <v>331</v>
      </c>
      <c r="D1195" s="225" t="s">
        <v>3626</v>
      </c>
      <c r="E1195" s="190">
        <v>30</v>
      </c>
      <c r="F1195" s="227" t="s">
        <v>45</v>
      </c>
      <c r="G1195" s="233">
        <v>44508</v>
      </c>
      <c r="H1195" s="252">
        <v>270</v>
      </c>
      <c r="I1195" s="188">
        <v>296.06</v>
      </c>
      <c r="J1195" s="188">
        <v>79936.2</v>
      </c>
      <c r="K1195" s="232">
        <v>44508</v>
      </c>
      <c r="L1195" s="192"/>
      <c r="M1195" s="472"/>
      <c r="N1195" s="472"/>
      <c r="O1195" s="472"/>
    </row>
    <row r="1196" spans="1:15" s="351" customFormat="1" ht="13.5" customHeight="1" x14ac:dyDescent="0.3">
      <c r="A1196" s="185" t="s">
        <v>2873</v>
      </c>
      <c r="B1196" s="352" t="s">
        <v>1325</v>
      </c>
      <c r="C1196" s="187" t="s">
        <v>928</v>
      </c>
      <c r="D1196" s="225" t="s">
        <v>3401</v>
      </c>
      <c r="E1196" s="190">
        <v>90</v>
      </c>
      <c r="F1196" s="227" t="s">
        <v>20</v>
      </c>
      <c r="G1196" s="233">
        <v>44509</v>
      </c>
      <c r="H1196" s="252">
        <v>312</v>
      </c>
      <c r="I1196" s="188">
        <v>1076.52</v>
      </c>
      <c r="J1196" s="188">
        <v>335874.24</v>
      </c>
      <c r="K1196" s="232">
        <v>44509</v>
      </c>
      <c r="L1196" s="192"/>
      <c r="M1196" s="472"/>
      <c r="N1196" s="472"/>
      <c r="O1196" s="472"/>
    </row>
    <row r="1197" spans="1:15" s="351" customFormat="1" ht="13.5" customHeight="1" x14ac:dyDescent="0.3">
      <c r="A1197" s="185" t="s">
        <v>3696</v>
      </c>
      <c r="B1197" s="352" t="s">
        <v>1782</v>
      </c>
      <c r="C1197" s="187" t="s">
        <v>331</v>
      </c>
      <c r="D1197" s="225" t="s">
        <v>3738</v>
      </c>
      <c r="E1197" s="190" t="s">
        <v>5</v>
      </c>
      <c r="F1197" s="227"/>
      <c r="G1197" s="233">
        <v>44512</v>
      </c>
      <c r="H1197" s="252">
        <v>110</v>
      </c>
      <c r="I1197" s="188">
        <v>716.23</v>
      </c>
      <c r="J1197" s="188">
        <v>78785.3</v>
      </c>
      <c r="K1197" s="232">
        <v>44510</v>
      </c>
      <c r="L1197" s="192"/>
      <c r="M1197" s="472"/>
      <c r="N1197" s="472"/>
      <c r="O1197" s="472"/>
    </row>
    <row r="1198" spans="1:15" s="351" customFormat="1" ht="13.5" customHeight="1" x14ac:dyDescent="0.3">
      <c r="A1198" s="185" t="s">
        <v>3502</v>
      </c>
      <c r="B1198" s="352" t="s">
        <v>1595</v>
      </c>
      <c r="C1198" s="187" t="s">
        <v>494</v>
      </c>
      <c r="D1198" s="225" t="s">
        <v>552</v>
      </c>
      <c r="E1198" s="190" t="s">
        <v>5</v>
      </c>
      <c r="F1198" s="227"/>
      <c r="G1198" s="233">
        <v>44513</v>
      </c>
      <c r="H1198" s="252">
        <v>5400</v>
      </c>
      <c r="I1198" s="188">
        <v>286</v>
      </c>
      <c r="J1198" s="188">
        <v>1544400</v>
      </c>
      <c r="K1198" s="232">
        <v>44510</v>
      </c>
      <c r="L1198" s="192"/>
      <c r="M1198" s="472"/>
      <c r="N1198" s="472"/>
      <c r="O1198" s="472"/>
    </row>
    <row r="1199" spans="1:15" s="351" customFormat="1" ht="13.5" customHeight="1" x14ac:dyDescent="0.25">
      <c r="A1199" s="185" t="s">
        <v>3533</v>
      </c>
      <c r="B1199" s="352" t="s">
        <v>1292</v>
      </c>
      <c r="C1199" s="187" t="s">
        <v>494</v>
      </c>
      <c r="D1199" s="225" t="s">
        <v>552</v>
      </c>
      <c r="E1199" s="190" t="s">
        <v>5</v>
      </c>
      <c r="F1199" s="227"/>
      <c r="G1199" s="233">
        <v>44514</v>
      </c>
      <c r="H1199" s="252">
        <v>2000</v>
      </c>
      <c r="I1199" s="188">
        <v>269</v>
      </c>
      <c r="J1199" s="188">
        <v>538000</v>
      </c>
      <c r="K1199" s="232">
        <v>44510</v>
      </c>
      <c r="L1199" s="192"/>
      <c r="M1199" s="472"/>
      <c r="N1199" s="472"/>
      <c r="O1199" s="472"/>
    </row>
    <row r="1200" spans="1:15" s="351" customFormat="1" ht="13.5" customHeight="1" x14ac:dyDescent="0.3">
      <c r="A1200" s="185" t="s">
        <v>2686</v>
      </c>
      <c r="B1200" s="352" t="s">
        <v>2077</v>
      </c>
      <c r="C1200" s="187" t="s">
        <v>890</v>
      </c>
      <c r="D1200" s="225" t="s">
        <v>3314</v>
      </c>
      <c r="E1200" s="190">
        <v>120</v>
      </c>
      <c r="F1200" s="227" t="s">
        <v>20</v>
      </c>
      <c r="G1200" s="233">
        <v>44512</v>
      </c>
      <c r="H1200" s="252">
        <v>100</v>
      </c>
      <c r="I1200" s="188">
        <v>348</v>
      </c>
      <c r="J1200" s="188">
        <v>34800</v>
      </c>
      <c r="K1200" s="232">
        <v>44512</v>
      </c>
      <c r="L1200" s="192"/>
      <c r="M1200" s="472"/>
      <c r="N1200" s="472"/>
      <c r="O1200" s="472"/>
    </row>
    <row r="1201" spans="1:15" s="351" customFormat="1" ht="13.5" customHeight="1" x14ac:dyDescent="0.3">
      <c r="A1201" s="185" t="s">
        <v>3648</v>
      </c>
      <c r="B1201" s="352" t="s">
        <v>1649</v>
      </c>
      <c r="C1201" s="187" t="s">
        <v>331</v>
      </c>
      <c r="D1201" s="225" t="s">
        <v>3649</v>
      </c>
      <c r="E1201" s="190">
        <v>30</v>
      </c>
      <c r="F1201" s="227" t="s">
        <v>45</v>
      </c>
      <c r="G1201" s="233">
        <v>44515</v>
      </c>
      <c r="H1201" s="252">
        <v>270</v>
      </c>
      <c r="I1201" s="188">
        <v>296.06</v>
      </c>
      <c r="J1201" s="188">
        <v>79936.2</v>
      </c>
      <c r="K1201" s="232">
        <v>44512</v>
      </c>
      <c r="L1201" s="192"/>
      <c r="M1201" s="472"/>
      <c r="N1201" s="472"/>
      <c r="O1201" s="472"/>
    </row>
    <row r="1202" spans="1:15" s="351" customFormat="1" ht="13.5" customHeight="1" x14ac:dyDescent="0.3">
      <c r="A1202" s="185" t="s">
        <v>3650</v>
      </c>
      <c r="B1202" s="352" t="s">
        <v>1649</v>
      </c>
      <c r="C1202" s="187" t="s">
        <v>331</v>
      </c>
      <c r="D1202" s="225" t="s">
        <v>3651</v>
      </c>
      <c r="E1202" s="190">
        <v>30</v>
      </c>
      <c r="F1202" s="227" t="s">
        <v>45</v>
      </c>
      <c r="G1202" s="233">
        <v>44514</v>
      </c>
      <c r="H1202" s="252">
        <v>270</v>
      </c>
      <c r="I1202" s="188">
        <v>296.06</v>
      </c>
      <c r="J1202" s="188">
        <v>79936.2</v>
      </c>
      <c r="K1202" s="232">
        <v>44512</v>
      </c>
      <c r="L1202" s="192"/>
      <c r="M1202" s="472"/>
      <c r="N1202" s="472"/>
      <c r="O1202" s="472"/>
    </row>
    <row r="1203" spans="1:15" s="351" customFormat="1" ht="13.5" customHeight="1" x14ac:dyDescent="0.3">
      <c r="A1203" s="185" t="s">
        <v>2874</v>
      </c>
      <c r="B1203" s="352" t="s">
        <v>1325</v>
      </c>
      <c r="C1203" s="187" t="s">
        <v>928</v>
      </c>
      <c r="D1203" s="225" t="s">
        <v>3424</v>
      </c>
      <c r="E1203" s="190">
        <v>90</v>
      </c>
      <c r="F1203" s="227" t="s">
        <v>20</v>
      </c>
      <c r="G1203" s="233">
        <v>44515</v>
      </c>
      <c r="H1203" s="252">
        <v>312</v>
      </c>
      <c r="I1203" s="188">
        <v>1053.1099999999999</v>
      </c>
      <c r="J1203" s="188">
        <v>328570.31999999995</v>
      </c>
      <c r="K1203" s="232">
        <v>44512</v>
      </c>
      <c r="L1203" s="192"/>
      <c r="M1203" s="472"/>
      <c r="N1203" s="472"/>
      <c r="O1203" s="472"/>
    </row>
    <row r="1204" spans="1:15" s="351" customFormat="1" ht="13.5" customHeight="1" x14ac:dyDescent="0.3">
      <c r="A1204" s="185" t="s">
        <v>3504</v>
      </c>
      <c r="B1204" s="352" t="s">
        <v>1295</v>
      </c>
      <c r="C1204" s="187" t="s">
        <v>3505</v>
      </c>
      <c r="D1204" s="225" t="s">
        <v>3578</v>
      </c>
      <c r="E1204" s="190">
        <v>30</v>
      </c>
      <c r="F1204" s="227" t="s">
        <v>20</v>
      </c>
      <c r="G1204" s="233">
        <v>44514</v>
      </c>
      <c r="H1204" s="252">
        <v>800</v>
      </c>
      <c r="I1204" s="188">
        <v>982</v>
      </c>
      <c r="J1204" s="188">
        <f>+I1204*H1204</f>
        <v>785600</v>
      </c>
      <c r="K1204" s="232">
        <v>44516</v>
      </c>
      <c r="L1204" s="192"/>
      <c r="M1204" s="472"/>
      <c r="N1204" s="472"/>
      <c r="O1204" s="472"/>
    </row>
    <row r="1205" spans="1:15" s="351" customFormat="1" ht="13.5" customHeight="1" x14ac:dyDescent="0.25">
      <c r="A1205" s="185" t="s">
        <v>3723</v>
      </c>
      <c r="B1205" s="352" t="s">
        <v>1386</v>
      </c>
      <c r="C1205" s="187" t="s">
        <v>928</v>
      </c>
      <c r="D1205" s="225" t="s">
        <v>3741</v>
      </c>
      <c r="E1205" s="190" t="s">
        <v>5</v>
      </c>
      <c r="F1205" s="227"/>
      <c r="G1205" s="233">
        <v>44517</v>
      </c>
      <c r="H1205" s="252">
        <v>1350</v>
      </c>
      <c r="I1205" s="188">
        <v>925</v>
      </c>
      <c r="J1205" s="188">
        <v>1248750</v>
      </c>
      <c r="K1205" s="232">
        <v>44517</v>
      </c>
      <c r="L1205" s="192"/>
      <c r="M1205" s="473">
        <v>44516</v>
      </c>
      <c r="N1205" s="473"/>
      <c r="O1205" s="473"/>
    </row>
    <row r="1206" spans="1:15" s="351" customFormat="1" ht="13.5" customHeight="1" x14ac:dyDescent="0.25">
      <c r="A1206" s="185" t="s">
        <v>3722</v>
      </c>
      <c r="B1206" s="352" t="s">
        <v>1349</v>
      </c>
      <c r="C1206" s="187" t="s">
        <v>928</v>
      </c>
      <c r="D1206" s="225" t="s">
        <v>3740</v>
      </c>
      <c r="E1206" s="190" t="s">
        <v>5</v>
      </c>
      <c r="F1206" s="227"/>
      <c r="G1206" s="233">
        <v>44517</v>
      </c>
      <c r="H1206" s="252">
        <v>1350</v>
      </c>
      <c r="I1206" s="188">
        <v>920</v>
      </c>
      <c r="J1206" s="188">
        <v>1242000</v>
      </c>
      <c r="K1206" s="232">
        <v>44518</v>
      </c>
      <c r="L1206" s="192"/>
      <c r="M1206" s="473">
        <v>44516</v>
      </c>
      <c r="N1206" s="473"/>
      <c r="O1206" s="473"/>
    </row>
    <row r="1207" spans="1:15" s="351" customFormat="1" ht="13.5" customHeight="1" x14ac:dyDescent="0.3">
      <c r="A1207" s="185" t="s">
        <v>3190</v>
      </c>
      <c r="B1207" s="352" t="s">
        <v>1409</v>
      </c>
      <c r="C1207" s="187" t="s">
        <v>1433</v>
      </c>
      <c r="D1207" s="225" t="s">
        <v>552</v>
      </c>
      <c r="E1207" s="190">
        <v>150</v>
      </c>
      <c r="F1207" s="227" t="s">
        <v>20</v>
      </c>
      <c r="G1207" s="233">
        <v>44519</v>
      </c>
      <c r="H1207" s="252">
        <v>6400</v>
      </c>
      <c r="I1207" s="188">
        <v>350.5</v>
      </c>
      <c r="J1207" s="188">
        <v>2243200</v>
      </c>
      <c r="K1207" s="232">
        <v>44519</v>
      </c>
      <c r="L1207" s="192" t="s">
        <v>1534</v>
      </c>
      <c r="M1207" s="473">
        <v>44509</v>
      </c>
      <c r="N1207" s="473"/>
      <c r="O1207" s="473"/>
    </row>
    <row r="1208" spans="1:15" s="351" customFormat="1" ht="13.5" customHeight="1" x14ac:dyDescent="0.3">
      <c r="A1208" s="185" t="s">
        <v>3657</v>
      </c>
      <c r="B1208" s="352" t="s">
        <v>1649</v>
      </c>
      <c r="C1208" s="187" t="s">
        <v>331</v>
      </c>
      <c r="D1208" s="225" t="s">
        <v>3715</v>
      </c>
      <c r="E1208" s="190">
        <v>30</v>
      </c>
      <c r="F1208" s="227" t="s">
        <v>45</v>
      </c>
      <c r="G1208" s="233">
        <v>44528</v>
      </c>
      <c r="H1208" s="252">
        <v>270</v>
      </c>
      <c r="I1208" s="188">
        <v>296.06</v>
      </c>
      <c r="J1208" s="188">
        <v>79936.2</v>
      </c>
      <c r="K1208" s="232">
        <v>44522</v>
      </c>
      <c r="L1208" s="192"/>
      <c r="M1208" s="474">
        <v>44515</v>
      </c>
      <c r="N1208" s="474"/>
      <c r="O1208" s="474"/>
    </row>
    <row r="1209" spans="1:15" s="351" customFormat="1" ht="13.5" customHeight="1" x14ac:dyDescent="0.3">
      <c r="A1209" s="185" t="s">
        <v>2918</v>
      </c>
      <c r="B1209" s="352" t="s">
        <v>1293</v>
      </c>
      <c r="C1209" s="187" t="s">
        <v>280</v>
      </c>
      <c r="D1209" s="225" t="s">
        <v>3365</v>
      </c>
      <c r="E1209" s="190">
        <v>90</v>
      </c>
      <c r="F1209" s="227" t="s">
        <v>20</v>
      </c>
      <c r="G1209" s="233">
        <v>44527</v>
      </c>
      <c r="H1209" s="252">
        <v>150</v>
      </c>
      <c r="I1209" s="188">
        <v>321</v>
      </c>
      <c r="J1209" s="188">
        <v>48150</v>
      </c>
      <c r="K1209" s="232">
        <v>44522</v>
      </c>
      <c r="L1209" s="192"/>
      <c r="M1209" s="474">
        <v>44515</v>
      </c>
      <c r="N1209" s="474"/>
      <c r="O1209" s="474"/>
    </row>
    <row r="1210" spans="1:15" s="351" customFormat="1" ht="13.5" customHeight="1" x14ac:dyDescent="0.3">
      <c r="A1210" s="185" t="s">
        <v>3161</v>
      </c>
      <c r="B1210" s="352" t="s">
        <v>2634</v>
      </c>
      <c r="C1210" s="187" t="s">
        <v>3174</v>
      </c>
      <c r="D1210" s="225" t="s">
        <v>3514</v>
      </c>
      <c r="E1210" s="190">
        <v>90</v>
      </c>
      <c r="F1210" s="227" t="s">
        <v>20</v>
      </c>
      <c r="G1210" s="233">
        <v>44524</v>
      </c>
      <c r="H1210" s="252">
        <v>18</v>
      </c>
      <c r="I1210" s="188">
        <v>5110</v>
      </c>
      <c r="J1210" s="188">
        <v>91980</v>
      </c>
      <c r="K1210" s="232">
        <v>44522</v>
      </c>
      <c r="L1210" s="192"/>
      <c r="M1210" s="474">
        <v>44515</v>
      </c>
      <c r="N1210" s="474"/>
      <c r="O1210" s="474"/>
    </row>
    <row r="1211" spans="1:15" s="351" customFormat="1" ht="13.5" customHeight="1" x14ac:dyDescent="0.3">
      <c r="A1211" s="185" t="s">
        <v>3411</v>
      </c>
      <c r="B1211" s="352" t="s">
        <v>1293</v>
      </c>
      <c r="C1211" s="187" t="s">
        <v>3414</v>
      </c>
      <c r="D1211" s="225" t="s">
        <v>3555</v>
      </c>
      <c r="E1211" s="190">
        <v>90</v>
      </c>
      <c r="F1211" s="227" t="s">
        <v>20</v>
      </c>
      <c r="G1211" s="233">
        <v>44529</v>
      </c>
      <c r="H1211" s="252">
        <v>200</v>
      </c>
      <c r="I1211" s="188">
        <v>395</v>
      </c>
      <c r="J1211" s="188">
        <v>79000</v>
      </c>
      <c r="K1211" s="232">
        <v>44522</v>
      </c>
      <c r="L1211" s="192"/>
      <c r="M1211" s="474">
        <v>44515</v>
      </c>
      <c r="N1211" s="474"/>
      <c r="O1211" s="474"/>
    </row>
    <row r="1212" spans="1:15" s="351" customFormat="1" ht="13.5" customHeight="1" x14ac:dyDescent="0.3">
      <c r="A1212" s="185" t="s">
        <v>3560</v>
      </c>
      <c r="B1212" s="352" t="s">
        <v>1754</v>
      </c>
      <c r="C1212" s="187" t="s">
        <v>331</v>
      </c>
      <c r="D1212" s="225" t="s">
        <v>3781</v>
      </c>
      <c r="E1212" s="190" t="s">
        <v>5</v>
      </c>
      <c r="F1212" s="227"/>
      <c r="G1212" s="233">
        <v>44531</v>
      </c>
      <c r="H1212" s="252">
        <v>9.6</v>
      </c>
      <c r="I1212" s="188">
        <v>10000</v>
      </c>
      <c r="J1212" s="188">
        <v>96000</v>
      </c>
      <c r="K1212" s="232">
        <v>44526</v>
      </c>
      <c r="L1212" s="192"/>
      <c r="M1212" s="481">
        <v>44526</v>
      </c>
      <c r="N1212" s="481"/>
      <c r="O1212" s="481"/>
    </row>
    <row r="1213" spans="1:15" s="351" customFormat="1" ht="13.5" customHeight="1" x14ac:dyDescent="0.3">
      <c r="A1213" s="185" t="s">
        <v>3479</v>
      </c>
      <c r="B1213" s="352" t="s">
        <v>3480</v>
      </c>
      <c r="C1213" s="187" t="s">
        <v>331</v>
      </c>
      <c r="D1213" s="225" t="s">
        <v>3782</v>
      </c>
      <c r="E1213" s="190" t="s">
        <v>5</v>
      </c>
      <c r="F1213" s="227"/>
      <c r="G1213" s="233">
        <v>44531</v>
      </c>
      <c r="H1213" s="252">
        <v>2.8</v>
      </c>
      <c r="I1213" s="188">
        <v>7200</v>
      </c>
      <c r="J1213" s="188">
        <v>20160</v>
      </c>
      <c r="K1213" s="232">
        <v>44526</v>
      </c>
      <c r="L1213" s="192"/>
      <c r="M1213" s="481">
        <v>44526</v>
      </c>
      <c r="N1213" s="481"/>
      <c r="O1213" s="481"/>
    </row>
    <row r="1214" spans="1:15" s="351" customFormat="1" ht="13.5" customHeight="1" x14ac:dyDescent="0.3">
      <c r="A1214" s="185" t="s">
        <v>3566</v>
      </c>
      <c r="B1214" s="352" t="s">
        <v>3481</v>
      </c>
      <c r="C1214" s="187" t="s">
        <v>331</v>
      </c>
      <c r="D1214" s="225" t="s">
        <v>3780</v>
      </c>
      <c r="E1214" s="190" t="s">
        <v>5</v>
      </c>
      <c r="F1214" s="227"/>
      <c r="G1214" s="233">
        <v>44531</v>
      </c>
      <c r="H1214" s="252">
        <v>3.6</v>
      </c>
      <c r="I1214" s="188">
        <v>8000</v>
      </c>
      <c r="J1214" s="188">
        <v>28800</v>
      </c>
      <c r="K1214" s="232">
        <v>44526</v>
      </c>
      <c r="L1214" s="192"/>
      <c r="M1214" s="481">
        <v>44526</v>
      </c>
      <c r="N1214" s="481"/>
      <c r="O1214" s="481"/>
    </row>
    <row r="1215" spans="1:15" s="351" customFormat="1" ht="13.5" customHeight="1" x14ac:dyDescent="0.3">
      <c r="A1215" s="185" t="s">
        <v>514</v>
      </c>
      <c r="B1215" s="352" t="s">
        <v>3481</v>
      </c>
      <c r="C1215" s="187" t="s">
        <v>331</v>
      </c>
      <c r="D1215" s="225" t="s">
        <v>3779</v>
      </c>
      <c r="E1215" s="190" t="s">
        <v>5</v>
      </c>
      <c r="F1215" s="227"/>
      <c r="G1215" s="233">
        <v>44531</v>
      </c>
      <c r="H1215" s="252"/>
      <c r="I1215" s="188"/>
      <c r="J1215" s="188">
        <v>-20020</v>
      </c>
      <c r="K1215" s="232">
        <v>44526</v>
      </c>
      <c r="L1215" s="192"/>
      <c r="M1215" s="481">
        <v>44526</v>
      </c>
      <c r="N1215" s="481"/>
      <c r="O1215" s="481"/>
    </row>
    <row r="1216" spans="1:15" s="351" customFormat="1" ht="13.5" customHeight="1" x14ac:dyDescent="0.3">
      <c r="A1216" s="185" t="s">
        <v>3409</v>
      </c>
      <c r="B1216" s="352" t="s">
        <v>1325</v>
      </c>
      <c r="C1216" s="187" t="s">
        <v>1497</v>
      </c>
      <c r="D1216" s="225" t="s">
        <v>3551</v>
      </c>
      <c r="E1216" s="190">
        <v>90</v>
      </c>
      <c r="F1216" s="227" t="s">
        <v>20</v>
      </c>
      <c r="G1216" s="233">
        <v>44538</v>
      </c>
      <c r="H1216" s="252">
        <v>425.6</v>
      </c>
      <c r="I1216" s="188">
        <v>1680</v>
      </c>
      <c r="J1216" s="188">
        <v>715008</v>
      </c>
      <c r="K1216" s="232">
        <v>44529</v>
      </c>
      <c r="L1216" s="192"/>
      <c r="M1216" s="481">
        <v>44519</v>
      </c>
      <c r="N1216" s="481"/>
      <c r="O1216" s="481"/>
    </row>
    <row r="1217" spans="1:15" s="351" customFormat="1" ht="13.5" customHeight="1" x14ac:dyDescent="0.3">
      <c r="A1217" s="185" t="s">
        <v>3546</v>
      </c>
      <c r="B1217" s="352" t="s">
        <v>1325</v>
      </c>
      <c r="C1217" s="187" t="s">
        <v>1497</v>
      </c>
      <c r="D1217" s="225" t="s">
        <v>3552</v>
      </c>
      <c r="E1217" s="190">
        <v>90</v>
      </c>
      <c r="F1217" s="227" t="s">
        <v>20</v>
      </c>
      <c r="G1217" s="233">
        <v>44537</v>
      </c>
      <c r="H1217" s="252">
        <v>133</v>
      </c>
      <c r="I1217" s="188">
        <v>1691</v>
      </c>
      <c r="J1217" s="188">
        <v>224903</v>
      </c>
      <c r="K1217" s="232">
        <v>44529</v>
      </c>
      <c r="L1217" s="192"/>
      <c r="M1217" s="481">
        <v>44519</v>
      </c>
      <c r="N1217" s="481"/>
      <c r="O1217" s="481"/>
    </row>
    <row r="1218" spans="1:15" s="351" customFormat="1" ht="13.5" customHeight="1" x14ac:dyDescent="0.3">
      <c r="A1218" s="185" t="s">
        <v>3547</v>
      </c>
      <c r="B1218" s="352" t="s">
        <v>1325</v>
      </c>
      <c r="C1218" s="187" t="s">
        <v>1497</v>
      </c>
      <c r="D1218" s="225" t="s">
        <v>3553</v>
      </c>
      <c r="E1218" s="190">
        <v>90</v>
      </c>
      <c r="F1218" s="227" t="s">
        <v>20</v>
      </c>
      <c r="G1218" s="233">
        <v>44537</v>
      </c>
      <c r="H1218" s="252">
        <v>79.8</v>
      </c>
      <c r="I1218" s="188">
        <v>1691</v>
      </c>
      <c r="J1218" s="188">
        <v>134941.79999999999</v>
      </c>
      <c r="K1218" s="232">
        <v>44529</v>
      </c>
      <c r="L1218" s="192"/>
      <c r="M1218" s="481">
        <v>44519</v>
      </c>
      <c r="N1218" s="481"/>
      <c r="O1218" s="481"/>
    </row>
    <row r="1219" spans="1:15" s="351" customFormat="1" ht="13.5" customHeight="1" x14ac:dyDescent="0.3">
      <c r="A1219" s="185" t="s">
        <v>3548</v>
      </c>
      <c r="B1219" s="352" t="s">
        <v>1325</v>
      </c>
      <c r="C1219" s="187" t="s">
        <v>1497</v>
      </c>
      <c r="D1219" s="225" t="s">
        <v>3554</v>
      </c>
      <c r="E1219" s="190">
        <v>90</v>
      </c>
      <c r="F1219" s="227" t="s">
        <v>20</v>
      </c>
      <c r="G1219" s="233">
        <v>44537</v>
      </c>
      <c r="H1219" s="252">
        <v>79.8</v>
      </c>
      <c r="I1219" s="188">
        <v>1691</v>
      </c>
      <c r="J1219" s="188">
        <v>134941.79999999999</v>
      </c>
      <c r="K1219" s="232">
        <v>44529</v>
      </c>
      <c r="L1219" s="192"/>
      <c r="M1219" s="481">
        <v>44519</v>
      </c>
      <c r="N1219" s="481"/>
      <c r="O1219" s="481"/>
    </row>
    <row r="1220" spans="1:15" s="351" customFormat="1" ht="13.5" customHeight="1" x14ac:dyDescent="0.3">
      <c r="A1220" s="185" t="s">
        <v>3151</v>
      </c>
      <c r="B1220" s="352" t="s">
        <v>502</v>
      </c>
      <c r="C1220" s="187" t="s">
        <v>1497</v>
      </c>
      <c r="D1220" s="225" t="s">
        <v>3541</v>
      </c>
      <c r="E1220" s="190">
        <v>90</v>
      </c>
      <c r="F1220" s="227" t="s">
        <v>20</v>
      </c>
      <c r="G1220" s="233">
        <v>44539</v>
      </c>
      <c r="H1220" s="252">
        <v>349</v>
      </c>
      <c r="I1220" s="188">
        <v>713</v>
      </c>
      <c r="J1220" s="188">
        <v>248837</v>
      </c>
      <c r="K1220" s="232">
        <v>44529</v>
      </c>
      <c r="L1220" s="192"/>
      <c r="M1220" s="481">
        <v>44523</v>
      </c>
      <c r="N1220" s="481"/>
      <c r="O1220" s="481"/>
    </row>
    <row r="1221" spans="1:15" s="351" customFormat="1" ht="13.5" customHeight="1" x14ac:dyDescent="0.3">
      <c r="A1221" s="185" t="s">
        <v>3676</v>
      </c>
      <c r="B1221" s="352" t="s">
        <v>653</v>
      </c>
      <c r="C1221" s="187" t="s">
        <v>1496</v>
      </c>
      <c r="D1221" s="225" t="s">
        <v>3674</v>
      </c>
      <c r="E1221" s="190">
        <v>60</v>
      </c>
      <c r="F1221" s="227" t="s">
        <v>20</v>
      </c>
      <c r="G1221" s="233">
        <v>44532</v>
      </c>
      <c r="H1221" s="252">
        <v>84</v>
      </c>
      <c r="I1221" s="188">
        <v>795</v>
      </c>
      <c r="J1221" s="188">
        <v>66780</v>
      </c>
      <c r="K1221" s="232">
        <v>44529</v>
      </c>
      <c r="L1221" s="192"/>
      <c r="M1221" s="481">
        <v>44519</v>
      </c>
      <c r="N1221" s="481"/>
      <c r="O1221" s="481"/>
    </row>
    <row r="1222" spans="1:15" s="351" customFormat="1" ht="13.5" customHeight="1" x14ac:dyDescent="0.3">
      <c r="A1222" s="185" t="s">
        <v>3678</v>
      </c>
      <c r="B1222" s="352" t="s">
        <v>653</v>
      </c>
      <c r="C1222" s="187" t="s">
        <v>1496</v>
      </c>
      <c r="D1222" s="225" t="s">
        <v>3674</v>
      </c>
      <c r="E1222" s="190">
        <v>60</v>
      </c>
      <c r="F1222" s="227" t="s">
        <v>20</v>
      </c>
      <c r="G1222" s="233">
        <v>44532</v>
      </c>
      <c r="H1222" s="252">
        <v>84</v>
      </c>
      <c r="I1222" s="188">
        <v>795</v>
      </c>
      <c r="J1222" s="188">
        <v>66780</v>
      </c>
      <c r="K1222" s="232">
        <v>44529</v>
      </c>
      <c r="L1222" s="192"/>
      <c r="M1222" s="481">
        <v>44519</v>
      </c>
      <c r="N1222" s="481"/>
      <c r="O1222" s="481"/>
    </row>
    <row r="1223" spans="1:15" s="351" customFormat="1" ht="13.5" customHeight="1" x14ac:dyDescent="0.3">
      <c r="A1223" s="185" t="s">
        <v>3701</v>
      </c>
      <c r="B1223" s="352" t="s">
        <v>653</v>
      </c>
      <c r="C1223" s="187" t="s">
        <v>1496</v>
      </c>
      <c r="D1223" s="225" t="s">
        <v>3674</v>
      </c>
      <c r="E1223" s="190">
        <v>60</v>
      </c>
      <c r="F1223" s="227" t="s">
        <v>20</v>
      </c>
      <c r="G1223" s="233">
        <v>44532</v>
      </c>
      <c r="H1223" s="252">
        <v>112</v>
      </c>
      <c r="I1223" s="188">
        <v>795</v>
      </c>
      <c r="J1223" s="188">
        <v>89040</v>
      </c>
      <c r="K1223" s="232">
        <v>44529</v>
      </c>
      <c r="L1223" s="192"/>
      <c r="M1223" s="481">
        <v>44519</v>
      </c>
      <c r="N1223" s="481"/>
      <c r="O1223" s="481"/>
    </row>
    <row r="1224" spans="1:15" s="351" customFormat="1" ht="13.2" customHeight="1" x14ac:dyDescent="0.3">
      <c r="A1224" s="185" t="s">
        <v>2689</v>
      </c>
      <c r="B1224" s="352" t="s">
        <v>1293</v>
      </c>
      <c r="C1224" s="187" t="s">
        <v>1294</v>
      </c>
      <c r="D1224" s="225" t="s">
        <v>3363</v>
      </c>
      <c r="E1224" s="190">
        <v>150</v>
      </c>
      <c r="F1224" s="227" t="s">
        <v>20</v>
      </c>
      <c r="G1224" s="233">
        <v>44538</v>
      </c>
      <c r="H1224" s="252">
        <v>150</v>
      </c>
      <c r="I1224" s="188">
        <v>268</v>
      </c>
      <c r="J1224" s="188">
        <v>40200</v>
      </c>
      <c r="K1224" s="232">
        <v>44529</v>
      </c>
      <c r="L1224" s="192"/>
      <c r="M1224" s="481">
        <v>44519</v>
      </c>
      <c r="N1224" s="481"/>
      <c r="O1224" s="481"/>
    </row>
    <row r="1225" spans="1:15" s="351" customFormat="1" ht="13.2" customHeight="1" x14ac:dyDescent="0.3">
      <c r="A1225" s="185" t="s">
        <v>3317</v>
      </c>
      <c r="B1225" s="352" t="s">
        <v>2001</v>
      </c>
      <c r="C1225" s="187" t="s">
        <v>1497</v>
      </c>
      <c r="D1225" s="225" t="s">
        <v>3539</v>
      </c>
      <c r="E1225" s="190">
        <v>90</v>
      </c>
      <c r="F1225" s="227" t="s">
        <v>20</v>
      </c>
      <c r="G1225" s="233">
        <v>44539</v>
      </c>
      <c r="H1225" s="252">
        <v>350</v>
      </c>
      <c r="I1225" s="188">
        <v>214</v>
      </c>
      <c r="J1225" s="188">
        <v>74900</v>
      </c>
      <c r="K1225" s="232">
        <v>44529</v>
      </c>
      <c r="L1225" s="192"/>
      <c r="M1225" s="481">
        <v>44515</v>
      </c>
      <c r="N1225" s="481"/>
      <c r="O1225" s="481"/>
    </row>
    <row r="1226" spans="1:15" s="351" customFormat="1" ht="13.2" customHeight="1" x14ac:dyDescent="0.3">
      <c r="A1226" s="185" t="s">
        <v>3425</v>
      </c>
      <c r="B1226" s="352" t="s">
        <v>2001</v>
      </c>
      <c r="C1226" s="187" t="s">
        <v>1497</v>
      </c>
      <c r="D1226" s="225" t="s">
        <v>3540</v>
      </c>
      <c r="E1226" s="190">
        <v>90</v>
      </c>
      <c r="F1226" s="227" t="s">
        <v>20</v>
      </c>
      <c r="G1226" s="233">
        <v>44538</v>
      </c>
      <c r="H1226" s="252">
        <v>501</v>
      </c>
      <c r="I1226" s="188">
        <v>214</v>
      </c>
      <c r="J1226" s="188">
        <v>107214</v>
      </c>
      <c r="K1226" s="232">
        <v>44529</v>
      </c>
      <c r="L1226" s="192"/>
      <c r="M1226" s="481">
        <v>44519</v>
      </c>
      <c r="N1226" s="481"/>
      <c r="O1226" s="481"/>
    </row>
    <row r="1227" spans="1:15" s="351" customFormat="1" ht="13.2" customHeight="1" x14ac:dyDescent="0.3">
      <c r="A1227" s="185" t="s">
        <v>3656</v>
      </c>
      <c r="B1227" s="352" t="s">
        <v>1649</v>
      </c>
      <c r="C1227" s="187" t="s">
        <v>331</v>
      </c>
      <c r="D1227" s="225" t="s">
        <v>3769</v>
      </c>
      <c r="E1227" s="190">
        <v>30</v>
      </c>
      <c r="F1227" s="227" t="s">
        <v>45</v>
      </c>
      <c r="G1227" s="233">
        <v>44548</v>
      </c>
      <c r="H1227" s="252">
        <v>351</v>
      </c>
      <c r="I1227" s="188">
        <v>296.06</v>
      </c>
      <c r="J1227" s="188">
        <v>103917.06</v>
      </c>
      <c r="K1227" s="232">
        <v>44530</v>
      </c>
      <c r="L1227" s="192"/>
      <c r="M1227" s="481">
        <v>44529</v>
      </c>
      <c r="N1227" s="481"/>
      <c r="O1227" s="481"/>
    </row>
    <row r="1228" spans="1:15" s="351" customFormat="1" ht="13.2" customHeight="1" x14ac:dyDescent="0.3">
      <c r="A1228" s="185" t="s">
        <v>3659</v>
      </c>
      <c r="B1228" s="352" t="s">
        <v>1649</v>
      </c>
      <c r="C1228" s="187" t="s">
        <v>331</v>
      </c>
      <c r="D1228" s="225" t="s">
        <v>3770</v>
      </c>
      <c r="E1228" s="190">
        <v>30</v>
      </c>
      <c r="F1228" s="227" t="s">
        <v>45</v>
      </c>
      <c r="G1228" s="233">
        <v>44549</v>
      </c>
      <c r="H1228" s="252">
        <v>540</v>
      </c>
      <c r="I1228" s="188">
        <v>296.06</v>
      </c>
      <c r="J1228" s="188">
        <v>159872.4</v>
      </c>
      <c r="K1228" s="232">
        <v>44530</v>
      </c>
      <c r="L1228" s="192"/>
      <c r="M1228" s="481">
        <v>44529</v>
      </c>
      <c r="N1228" s="481"/>
      <c r="O1228" s="481"/>
    </row>
    <row r="1229" spans="1:15" s="351" customFormat="1" ht="13.2" customHeight="1" x14ac:dyDescent="0.3">
      <c r="A1229" s="185" t="s">
        <v>3677</v>
      </c>
      <c r="B1229" s="352" t="s">
        <v>653</v>
      </c>
      <c r="C1229" s="187" t="s">
        <v>1496</v>
      </c>
      <c r="D1229" s="225" t="s">
        <v>3675</v>
      </c>
      <c r="E1229" s="190">
        <v>60</v>
      </c>
      <c r="F1229" s="227" t="s">
        <v>20</v>
      </c>
      <c r="G1229" s="233">
        <v>44547</v>
      </c>
      <c r="H1229" s="252">
        <v>140</v>
      </c>
      <c r="I1229" s="188">
        <v>795</v>
      </c>
      <c r="J1229" s="188">
        <v>111300</v>
      </c>
      <c r="K1229" s="232">
        <v>44530</v>
      </c>
      <c r="L1229" s="192"/>
      <c r="M1229" s="481">
        <v>44529</v>
      </c>
      <c r="N1229" s="481"/>
      <c r="O1229" s="481"/>
    </row>
    <row r="1230" spans="1:15" s="351" customFormat="1" ht="13.2" customHeight="1" x14ac:dyDescent="0.3">
      <c r="A1230" s="185" t="s">
        <v>3320</v>
      </c>
      <c r="B1230" s="352" t="s">
        <v>502</v>
      </c>
      <c r="C1230" s="187" t="s">
        <v>1497</v>
      </c>
      <c r="D1230" s="225" t="s">
        <v>3603</v>
      </c>
      <c r="E1230" s="190">
        <v>90</v>
      </c>
      <c r="F1230" s="227" t="s">
        <v>20</v>
      </c>
      <c r="G1230" s="233">
        <v>44554</v>
      </c>
      <c r="H1230" s="252">
        <v>350</v>
      </c>
      <c r="I1230" s="188">
        <v>765</v>
      </c>
      <c r="J1230" s="188">
        <v>267750</v>
      </c>
      <c r="K1230" s="232">
        <v>44530</v>
      </c>
      <c r="L1230" s="192"/>
      <c r="M1230" s="481">
        <v>44529</v>
      </c>
      <c r="N1230" s="481"/>
      <c r="O1230" s="481"/>
    </row>
    <row r="1231" spans="1:15" s="351" customFormat="1" ht="13.2" customHeight="1" x14ac:dyDescent="0.3">
      <c r="A1231" s="185" t="s">
        <v>3503</v>
      </c>
      <c r="B1231" s="352" t="s">
        <v>1387</v>
      </c>
      <c r="C1231" s="187" t="s">
        <v>494</v>
      </c>
      <c r="D1231" s="225" t="s">
        <v>552</v>
      </c>
      <c r="E1231" s="190" t="s">
        <v>5</v>
      </c>
      <c r="F1231" s="227"/>
      <c r="G1231" s="233">
        <v>44523</v>
      </c>
      <c r="H1231" s="252">
        <v>2523.3105459347189</v>
      </c>
      <c r="I1231" s="188">
        <v>720</v>
      </c>
      <c r="J1231" s="188">
        <v>1816783.5930729976</v>
      </c>
      <c r="K1231" s="232">
        <v>44530</v>
      </c>
      <c r="L1231" s="192"/>
      <c r="M1231" s="481">
        <v>44526</v>
      </c>
      <c r="N1231" s="481"/>
      <c r="O1231" s="481"/>
    </row>
    <row r="1232" spans="1:15" s="351" customFormat="1" ht="13.2" customHeight="1" x14ac:dyDescent="0.3">
      <c r="A1232" s="185" t="s">
        <v>3503</v>
      </c>
      <c r="B1232" s="352" t="s">
        <v>1387</v>
      </c>
      <c r="C1232" s="187" t="s">
        <v>494</v>
      </c>
      <c r="D1232" s="225" t="s">
        <v>552</v>
      </c>
      <c r="E1232" s="190">
        <v>120</v>
      </c>
      <c r="F1232" s="227" t="s">
        <v>20</v>
      </c>
      <c r="G1232" s="233">
        <v>44523</v>
      </c>
      <c r="H1232" s="252">
        <v>4676.6894540652811</v>
      </c>
      <c r="I1232" s="188">
        <v>727.01</v>
      </c>
      <c r="J1232" s="188">
        <v>3400000</v>
      </c>
      <c r="K1232" s="232">
        <v>44530</v>
      </c>
      <c r="L1232" s="192" t="s">
        <v>3794</v>
      </c>
      <c r="M1232" s="481">
        <v>44526</v>
      </c>
      <c r="N1232" s="481"/>
      <c r="O1232" s="481"/>
    </row>
    <row r="1233" spans="1:15" s="351" customFormat="1" ht="13.2" customHeight="1" x14ac:dyDescent="0.3">
      <c r="A1233" s="185" t="s">
        <v>3744</v>
      </c>
      <c r="B1233" s="352" t="s">
        <v>3750</v>
      </c>
      <c r="C1233" s="187" t="s">
        <v>331</v>
      </c>
      <c r="D1233" s="225" t="s">
        <v>3793</v>
      </c>
      <c r="E1233" s="190" t="s">
        <v>5</v>
      </c>
      <c r="F1233" s="227"/>
      <c r="G1233" s="233">
        <v>44533</v>
      </c>
      <c r="H1233" s="252">
        <v>189</v>
      </c>
      <c r="I1233" s="188">
        <v>352.26</v>
      </c>
      <c r="J1233" s="188">
        <v>66577.14</v>
      </c>
      <c r="K1233" s="232">
        <v>44531</v>
      </c>
      <c r="L1233" s="192"/>
      <c r="M1233" s="483">
        <v>44530</v>
      </c>
      <c r="N1233" s="483"/>
      <c r="O1233" s="483"/>
    </row>
    <row r="1234" spans="1:15" s="351" customFormat="1" ht="13.2" customHeight="1" x14ac:dyDescent="0.25">
      <c r="A1234" s="185" t="s">
        <v>3767</v>
      </c>
      <c r="B1234" s="352" t="s">
        <v>1601</v>
      </c>
      <c r="C1234" s="187" t="s">
        <v>42</v>
      </c>
      <c r="D1234" s="225" t="s">
        <v>3841</v>
      </c>
      <c r="E1234" s="190" t="s">
        <v>5</v>
      </c>
      <c r="F1234" s="227"/>
      <c r="G1234" s="233">
        <v>44541</v>
      </c>
      <c r="H1234" s="252">
        <v>111.82</v>
      </c>
      <c r="I1234" s="188">
        <v>347.36</v>
      </c>
      <c r="J1234" s="188">
        <v>38841.7952</v>
      </c>
      <c r="K1234" s="232">
        <v>44536</v>
      </c>
      <c r="L1234" s="475"/>
      <c r="M1234" s="489">
        <v>44532</v>
      </c>
      <c r="N1234" s="489"/>
      <c r="O1234" s="489"/>
    </row>
    <row r="1235" spans="1:15" s="351" customFormat="1" ht="13.2" customHeight="1" x14ac:dyDescent="0.25">
      <c r="A1235" s="185" t="s">
        <v>3764</v>
      </c>
      <c r="B1235" s="352" t="s">
        <v>1349</v>
      </c>
      <c r="C1235" s="187" t="s">
        <v>928</v>
      </c>
      <c r="D1235" s="225" t="s">
        <v>552</v>
      </c>
      <c r="E1235" s="190" t="s">
        <v>5</v>
      </c>
      <c r="F1235" s="227"/>
      <c r="G1235" s="233">
        <v>44536</v>
      </c>
      <c r="H1235" s="252">
        <v>1320</v>
      </c>
      <c r="I1235" s="188">
        <v>990</v>
      </c>
      <c r="J1235" s="188">
        <v>1306800</v>
      </c>
      <c r="K1235" s="232">
        <v>44537</v>
      </c>
      <c r="L1235" s="192"/>
      <c r="M1235" s="484">
        <v>44530</v>
      </c>
      <c r="N1235" s="484"/>
      <c r="O1235" s="484"/>
    </row>
    <row r="1236" spans="1:15" s="351" customFormat="1" ht="13.2" customHeight="1" x14ac:dyDescent="0.25">
      <c r="A1236" s="185" t="s">
        <v>514</v>
      </c>
      <c r="B1236" s="352" t="s">
        <v>1349</v>
      </c>
      <c r="C1236" s="187" t="s">
        <v>928</v>
      </c>
      <c r="D1236" s="225" t="s">
        <v>552</v>
      </c>
      <c r="E1236" s="190" t="s">
        <v>5</v>
      </c>
      <c r="F1236" s="227"/>
      <c r="G1236" s="233">
        <v>44536</v>
      </c>
      <c r="H1236" s="252">
        <v>1320</v>
      </c>
      <c r="I1236" s="188">
        <v>-10</v>
      </c>
      <c r="J1236" s="188">
        <v>-13200</v>
      </c>
      <c r="K1236" s="232">
        <v>44537</v>
      </c>
      <c r="L1236" s="192"/>
      <c r="M1236" s="484">
        <v>44530</v>
      </c>
      <c r="N1236" s="484"/>
      <c r="O1236" s="484"/>
    </row>
    <row r="1237" spans="1:15" s="351" customFormat="1" ht="13.2" customHeight="1" x14ac:dyDescent="0.25">
      <c r="A1237" s="185" t="s">
        <v>3765</v>
      </c>
      <c r="B1237" s="352" t="s">
        <v>1349</v>
      </c>
      <c r="C1237" s="187" t="s">
        <v>928</v>
      </c>
      <c r="D1237" s="225" t="s">
        <v>552</v>
      </c>
      <c r="E1237" s="190" t="s">
        <v>5</v>
      </c>
      <c r="F1237" s="227"/>
      <c r="G1237" s="233">
        <v>44536</v>
      </c>
      <c r="H1237" s="252">
        <v>1980</v>
      </c>
      <c r="I1237" s="188">
        <v>990</v>
      </c>
      <c r="J1237" s="188">
        <v>1960200</v>
      </c>
      <c r="K1237" s="232">
        <v>44537</v>
      </c>
      <c r="L1237" s="192"/>
      <c r="M1237" s="484">
        <v>44530</v>
      </c>
      <c r="N1237" s="484"/>
      <c r="O1237" s="484"/>
    </row>
    <row r="1238" spans="1:15" s="351" customFormat="1" ht="13.2" customHeight="1" x14ac:dyDescent="0.25">
      <c r="A1238" s="185" t="s">
        <v>514</v>
      </c>
      <c r="B1238" s="352" t="s">
        <v>1349</v>
      </c>
      <c r="C1238" s="187" t="s">
        <v>928</v>
      </c>
      <c r="D1238" s="225" t="s">
        <v>552</v>
      </c>
      <c r="E1238" s="190" t="s">
        <v>5</v>
      </c>
      <c r="F1238" s="227"/>
      <c r="G1238" s="233">
        <v>44536</v>
      </c>
      <c r="H1238" s="252">
        <v>1980</v>
      </c>
      <c r="I1238" s="188">
        <v>-10</v>
      </c>
      <c r="J1238" s="188">
        <v>-19800</v>
      </c>
      <c r="K1238" s="232">
        <v>44537</v>
      </c>
      <c r="L1238" s="192"/>
      <c r="M1238" s="484">
        <v>44530</v>
      </c>
      <c r="N1238" s="484"/>
      <c r="O1238" s="484"/>
    </row>
    <row r="1239" spans="1:15" s="351" customFormat="1" ht="13.2" customHeight="1" x14ac:dyDescent="0.25">
      <c r="A1239" s="185" t="s">
        <v>3834</v>
      </c>
      <c r="B1239" s="352" t="s">
        <v>1386</v>
      </c>
      <c r="C1239" s="187" t="s">
        <v>928</v>
      </c>
      <c r="D1239" s="225" t="s">
        <v>552</v>
      </c>
      <c r="E1239" s="190" t="s">
        <v>5</v>
      </c>
      <c r="F1239" s="227"/>
      <c r="G1239" s="233">
        <v>44536</v>
      </c>
      <c r="H1239" s="252">
        <v>195</v>
      </c>
      <c r="I1239" s="188">
        <v>990</v>
      </c>
      <c r="J1239" s="188">
        <v>193050</v>
      </c>
      <c r="K1239" s="232">
        <v>44537</v>
      </c>
      <c r="L1239" s="192"/>
      <c r="M1239" s="484">
        <v>44531</v>
      </c>
      <c r="N1239" s="484"/>
      <c r="O1239" s="484"/>
    </row>
    <row r="1240" spans="1:15" s="351" customFormat="1" ht="13.2" customHeight="1" x14ac:dyDescent="0.25">
      <c r="A1240" s="185" t="s">
        <v>3833</v>
      </c>
      <c r="B1240" s="352" t="s">
        <v>1386</v>
      </c>
      <c r="C1240" s="187" t="s">
        <v>928</v>
      </c>
      <c r="D1240" s="225" t="s">
        <v>552</v>
      </c>
      <c r="E1240" s="190" t="s">
        <v>5</v>
      </c>
      <c r="F1240" s="227"/>
      <c r="G1240" s="233">
        <v>44536</v>
      </c>
      <c r="H1240" s="252">
        <v>685</v>
      </c>
      <c r="I1240" s="188">
        <v>990</v>
      </c>
      <c r="J1240" s="188">
        <f>+I1240*H1240</f>
        <v>678150</v>
      </c>
      <c r="K1240" s="232">
        <v>44538</v>
      </c>
      <c r="L1240" s="192"/>
      <c r="M1240" s="485">
        <v>44531</v>
      </c>
      <c r="N1240" s="485"/>
      <c r="O1240" s="485"/>
    </row>
    <row r="1241" spans="1:15" s="351" customFormat="1" ht="13.2" customHeight="1" x14ac:dyDescent="0.25">
      <c r="A1241" s="185" t="s">
        <v>3766</v>
      </c>
      <c r="B1241" s="352" t="s">
        <v>1386</v>
      </c>
      <c r="C1241" s="187" t="s">
        <v>928</v>
      </c>
      <c r="D1241" s="225" t="s">
        <v>552</v>
      </c>
      <c r="E1241" s="190" t="s">
        <v>5</v>
      </c>
      <c r="F1241" s="227"/>
      <c r="G1241" s="233">
        <v>44536</v>
      </c>
      <c r="H1241" s="252">
        <v>770</v>
      </c>
      <c r="I1241" s="188">
        <v>990</v>
      </c>
      <c r="J1241" s="188">
        <f t="shared" ref="J1241" si="41">+I1241*H1241</f>
        <v>762300</v>
      </c>
      <c r="K1241" s="232">
        <v>44538</v>
      </c>
      <c r="L1241" s="192"/>
      <c r="M1241" s="485">
        <v>44531</v>
      </c>
      <c r="N1241" s="485"/>
      <c r="O1241" s="485"/>
    </row>
    <row r="1242" spans="1:15" s="351" customFormat="1" ht="13.2" customHeight="1" x14ac:dyDescent="0.25">
      <c r="A1242" s="185" t="s">
        <v>3652</v>
      </c>
      <c r="B1242" s="352" t="s">
        <v>1326</v>
      </c>
      <c r="C1242" s="187" t="s">
        <v>1497</v>
      </c>
      <c r="D1242" s="225" t="s">
        <v>3835</v>
      </c>
      <c r="E1242" s="190" t="s">
        <v>5</v>
      </c>
      <c r="F1242" s="227"/>
      <c r="G1242" s="233">
        <v>44540</v>
      </c>
      <c r="H1242" s="252">
        <v>3500</v>
      </c>
      <c r="I1242" s="188">
        <v>999.65509999999995</v>
      </c>
      <c r="J1242" s="188">
        <f>3498792.85-J1243</f>
        <v>2500000</v>
      </c>
      <c r="K1242" s="232">
        <v>44540</v>
      </c>
      <c r="L1242" s="475" t="s">
        <v>3836</v>
      </c>
      <c r="M1242" s="484">
        <v>44539</v>
      </c>
      <c r="N1242" s="484"/>
      <c r="O1242" s="484"/>
    </row>
    <row r="1243" spans="1:15" s="351" customFormat="1" ht="13.2" customHeight="1" x14ac:dyDescent="0.25">
      <c r="A1243" s="185" t="s">
        <v>3652</v>
      </c>
      <c r="B1243" s="352" t="s">
        <v>1326</v>
      </c>
      <c r="C1243" s="187" t="s">
        <v>1497</v>
      </c>
      <c r="D1243" s="225" t="s">
        <v>3835</v>
      </c>
      <c r="E1243" s="190" t="s">
        <v>5</v>
      </c>
      <c r="F1243" s="227"/>
      <c r="G1243" s="233">
        <v>44540</v>
      </c>
      <c r="H1243" s="252">
        <v>3500</v>
      </c>
      <c r="I1243" s="188">
        <v>999.65509999999995</v>
      </c>
      <c r="J1243" s="188">
        <f>3498792.85-2500000</f>
        <v>998792.85000000009</v>
      </c>
      <c r="K1243" s="232">
        <v>44543</v>
      </c>
      <c r="L1243" s="475" t="s">
        <v>3837</v>
      </c>
      <c r="M1243" s="484">
        <v>44539</v>
      </c>
      <c r="N1243" s="484"/>
      <c r="O1243" s="484"/>
    </row>
    <row r="1244" spans="1:15" s="351" customFormat="1" ht="13.2" customHeight="1" x14ac:dyDescent="0.25">
      <c r="A1244" s="185" t="s">
        <v>3838</v>
      </c>
      <c r="B1244" s="352" t="s">
        <v>1601</v>
      </c>
      <c r="C1244" s="187" t="s">
        <v>42</v>
      </c>
      <c r="D1244" s="225" t="s">
        <v>3829</v>
      </c>
      <c r="E1244" s="190" t="s">
        <v>5</v>
      </c>
      <c r="F1244" s="227"/>
      <c r="G1244" s="233">
        <v>44544</v>
      </c>
      <c r="H1244" s="252">
        <v>335.6</v>
      </c>
      <c r="I1244" s="188">
        <v>347.3</v>
      </c>
      <c r="J1244" s="188">
        <v>116553.88</v>
      </c>
      <c r="K1244" s="232">
        <v>44543</v>
      </c>
      <c r="L1244" s="475"/>
      <c r="M1244" s="488">
        <v>44536</v>
      </c>
      <c r="N1244" s="488"/>
      <c r="O1244" s="488"/>
    </row>
    <row r="1245" spans="1:15" s="351" customFormat="1" ht="13.2" customHeight="1" x14ac:dyDescent="0.25">
      <c r="A1245" s="185" t="s">
        <v>3839</v>
      </c>
      <c r="B1245" s="352" t="s">
        <v>1601</v>
      </c>
      <c r="C1245" s="187" t="s">
        <v>42</v>
      </c>
      <c r="D1245" s="225" t="s">
        <v>3840</v>
      </c>
      <c r="E1245" s="190" t="s">
        <v>5</v>
      </c>
      <c r="F1245" s="227"/>
      <c r="G1245" s="233">
        <v>44544</v>
      </c>
      <c r="H1245" s="252">
        <v>55.96</v>
      </c>
      <c r="I1245" s="188">
        <v>347.3</v>
      </c>
      <c r="J1245" s="188">
        <v>19434.907999999999</v>
      </c>
      <c r="K1245" s="232">
        <v>44543</v>
      </c>
      <c r="L1245" s="475"/>
      <c r="M1245" s="488">
        <v>44536</v>
      </c>
      <c r="N1245" s="488"/>
      <c r="O1245" s="488"/>
    </row>
    <row r="1246" spans="1:15" s="351" customFormat="1" ht="13.2" customHeight="1" x14ac:dyDescent="0.3">
      <c r="A1246" s="185" t="s">
        <v>3727</v>
      </c>
      <c r="B1246" s="352" t="s">
        <v>1523</v>
      </c>
      <c r="C1246" s="187" t="s">
        <v>331</v>
      </c>
      <c r="D1246" s="225" t="s">
        <v>552</v>
      </c>
      <c r="E1246" s="190" t="s">
        <v>5</v>
      </c>
      <c r="F1246" s="227" t="s">
        <v>2098</v>
      </c>
      <c r="G1246" s="233">
        <v>44546</v>
      </c>
      <c r="H1246" s="252">
        <v>5501</v>
      </c>
      <c r="I1246" s="188">
        <v>822.65</v>
      </c>
      <c r="J1246" s="188">
        <v>3620318.1199999996</v>
      </c>
      <c r="K1246" s="232">
        <v>44547</v>
      </c>
      <c r="L1246" s="475" t="s">
        <v>3737</v>
      </c>
      <c r="M1246" s="489">
        <v>44529</v>
      </c>
      <c r="N1246" s="489"/>
      <c r="O1246" s="489"/>
    </row>
    <row r="1247" spans="1:15" s="351" customFormat="1" ht="13.2" customHeight="1" x14ac:dyDescent="0.3">
      <c r="A1247" s="185" t="s">
        <v>3654</v>
      </c>
      <c r="B1247" s="352" t="s">
        <v>1785</v>
      </c>
      <c r="C1247" s="187" t="s">
        <v>331</v>
      </c>
      <c r="D1247" s="225" t="s">
        <v>3871</v>
      </c>
      <c r="E1247" s="190" t="s">
        <v>5</v>
      </c>
      <c r="F1247" s="227"/>
      <c r="G1247" s="233">
        <v>44547</v>
      </c>
      <c r="H1247" s="252">
        <v>26.99</v>
      </c>
      <c r="I1247" s="188">
        <v>334.22</v>
      </c>
      <c r="J1247" s="188">
        <v>9020.5977999999996</v>
      </c>
      <c r="K1247" s="232">
        <v>44547</v>
      </c>
      <c r="L1247" s="475"/>
      <c r="M1247" s="489">
        <v>44546</v>
      </c>
      <c r="N1247" s="489"/>
      <c r="O1247" s="489"/>
    </row>
    <row r="1248" spans="1:15" s="351" customFormat="1" ht="13.2" customHeight="1" x14ac:dyDescent="0.3">
      <c r="A1248" s="185" t="s">
        <v>3655</v>
      </c>
      <c r="B1248" s="352" t="s">
        <v>1785</v>
      </c>
      <c r="C1248" s="187" t="s">
        <v>331</v>
      </c>
      <c r="D1248" s="225" t="s">
        <v>3872</v>
      </c>
      <c r="E1248" s="190" t="s">
        <v>5</v>
      </c>
      <c r="F1248" s="227"/>
      <c r="G1248" s="233">
        <v>44547</v>
      </c>
      <c r="H1248" s="252">
        <v>108</v>
      </c>
      <c r="I1248" s="188">
        <v>340.6</v>
      </c>
      <c r="J1248" s="188">
        <v>36784.800000000003</v>
      </c>
      <c r="K1248" s="232">
        <v>44547</v>
      </c>
      <c r="L1248" s="475"/>
      <c r="M1248" s="489">
        <v>44546</v>
      </c>
      <c r="N1248" s="489"/>
      <c r="O1248" s="489"/>
    </row>
    <row r="1249" spans="1:18" s="351" customFormat="1" ht="13.2" customHeight="1" x14ac:dyDescent="0.3">
      <c r="A1249" s="185" t="s">
        <v>3860</v>
      </c>
      <c r="B1249" s="352" t="s">
        <v>3750</v>
      </c>
      <c r="C1249" s="187" t="s">
        <v>331</v>
      </c>
      <c r="D1249" s="225" t="s">
        <v>3875</v>
      </c>
      <c r="E1249" s="190" t="s">
        <v>5</v>
      </c>
      <c r="F1249" s="227"/>
      <c r="G1249" s="233">
        <v>44547</v>
      </c>
      <c r="H1249" s="252">
        <v>216</v>
      </c>
      <c r="I1249" s="188">
        <v>364.22</v>
      </c>
      <c r="J1249" s="188">
        <v>78671.520000000004</v>
      </c>
      <c r="K1249" s="232">
        <v>44547</v>
      </c>
      <c r="L1249" s="475"/>
      <c r="M1249" s="489">
        <v>44546</v>
      </c>
      <c r="N1249" s="489"/>
      <c r="O1249" s="489"/>
    </row>
    <row r="1250" spans="1:18" s="351" customFormat="1" ht="13.2" customHeight="1" x14ac:dyDescent="0.3">
      <c r="A1250" s="185" t="s">
        <v>2976</v>
      </c>
      <c r="B1250" s="352" t="s">
        <v>1595</v>
      </c>
      <c r="C1250" s="187" t="s">
        <v>494</v>
      </c>
      <c r="D1250" s="225" t="s">
        <v>552</v>
      </c>
      <c r="E1250" s="190">
        <v>150</v>
      </c>
      <c r="F1250" s="227" t="s">
        <v>20</v>
      </c>
      <c r="G1250" s="233">
        <v>44547</v>
      </c>
      <c r="H1250" s="252">
        <v>6135</v>
      </c>
      <c r="I1250" s="188">
        <v>218.34</v>
      </c>
      <c r="J1250" s="188">
        <v>1339515.8999999999</v>
      </c>
      <c r="K1250" s="232">
        <v>44547</v>
      </c>
      <c r="L1250" s="475" t="s">
        <v>3423</v>
      </c>
      <c r="M1250" s="489">
        <v>44523</v>
      </c>
      <c r="N1250" s="489"/>
      <c r="O1250" s="489"/>
    </row>
    <row r="1251" spans="1:18" s="351" customFormat="1" ht="13.2" customHeight="1" x14ac:dyDescent="0.3">
      <c r="A1251" s="185" t="s">
        <v>2977</v>
      </c>
      <c r="B1251" s="352" t="s">
        <v>1387</v>
      </c>
      <c r="C1251" s="187" t="s">
        <v>494</v>
      </c>
      <c r="D1251" s="225" t="s">
        <v>552</v>
      </c>
      <c r="E1251" s="190">
        <v>150</v>
      </c>
      <c r="F1251" s="227" t="s">
        <v>20</v>
      </c>
      <c r="G1251" s="233">
        <v>44547</v>
      </c>
      <c r="H1251" s="252">
        <v>5000</v>
      </c>
      <c r="I1251" s="188">
        <v>603.47</v>
      </c>
      <c r="J1251" s="188">
        <v>3017350</v>
      </c>
      <c r="K1251" s="232">
        <v>44547</v>
      </c>
      <c r="L1251" s="475" t="s">
        <v>3423</v>
      </c>
      <c r="M1251" s="489">
        <v>44519</v>
      </c>
      <c r="N1251" s="489"/>
      <c r="O1251" s="489"/>
    </row>
    <row r="1252" spans="1:18" s="351" customFormat="1" ht="13.2" customHeight="1" x14ac:dyDescent="0.3">
      <c r="A1252" s="185" t="s">
        <v>2978</v>
      </c>
      <c r="B1252" s="352" t="s">
        <v>1328</v>
      </c>
      <c r="C1252" s="187" t="s">
        <v>494</v>
      </c>
      <c r="D1252" s="225" t="s">
        <v>552</v>
      </c>
      <c r="E1252" s="190">
        <v>150</v>
      </c>
      <c r="F1252" s="227" t="s">
        <v>20</v>
      </c>
      <c r="G1252" s="233">
        <v>44547</v>
      </c>
      <c r="H1252" s="252">
        <v>5500</v>
      </c>
      <c r="I1252" s="188">
        <v>539.79</v>
      </c>
      <c r="J1252" s="188">
        <v>2968845</v>
      </c>
      <c r="K1252" s="232">
        <v>44547</v>
      </c>
      <c r="L1252" s="475" t="s">
        <v>3423</v>
      </c>
      <c r="M1252" s="489">
        <v>44519</v>
      </c>
      <c r="N1252" s="489"/>
      <c r="O1252" s="489"/>
    </row>
    <row r="1253" spans="1:18" s="351" customFormat="1" ht="13.2" customHeight="1" x14ac:dyDescent="0.3">
      <c r="A1253" s="185" t="s">
        <v>3292</v>
      </c>
      <c r="B1253" s="352" t="s">
        <v>1274</v>
      </c>
      <c r="C1253" s="187" t="s">
        <v>494</v>
      </c>
      <c r="D1253" s="225" t="s">
        <v>552</v>
      </c>
      <c r="E1253" s="190">
        <v>150</v>
      </c>
      <c r="F1253" s="227" t="s">
        <v>20</v>
      </c>
      <c r="G1253" s="233">
        <v>44547</v>
      </c>
      <c r="H1253" s="252">
        <v>1100</v>
      </c>
      <c r="I1253" s="188">
        <v>505.42</v>
      </c>
      <c r="J1253" s="188">
        <v>555962</v>
      </c>
      <c r="K1253" s="232">
        <v>44547</v>
      </c>
      <c r="L1253" s="475" t="s">
        <v>3423</v>
      </c>
      <c r="M1253" s="489">
        <v>44519</v>
      </c>
      <c r="N1253" s="489"/>
      <c r="O1253" s="489"/>
    </row>
    <row r="1254" spans="1:18" s="351" customFormat="1" ht="13.2" customHeight="1" x14ac:dyDescent="0.25">
      <c r="A1254" s="185" t="s">
        <v>3796</v>
      </c>
      <c r="B1254" s="352" t="s">
        <v>1326</v>
      </c>
      <c r="C1254" s="187" t="s">
        <v>1497</v>
      </c>
      <c r="D1254" s="225" t="s">
        <v>3866</v>
      </c>
      <c r="E1254" s="190" t="s">
        <v>5</v>
      </c>
      <c r="F1254" s="227"/>
      <c r="G1254" s="233">
        <v>44550</v>
      </c>
      <c r="H1254" s="252">
        <v>4500</v>
      </c>
      <c r="I1254" s="188">
        <v>946.18</v>
      </c>
      <c r="J1254" s="188">
        <v>4257810</v>
      </c>
      <c r="K1254" s="232">
        <v>44551</v>
      </c>
      <c r="L1254" s="475" t="s">
        <v>3876</v>
      </c>
      <c r="M1254" s="489">
        <v>44545</v>
      </c>
      <c r="N1254" s="489"/>
      <c r="O1254" s="489"/>
    </row>
    <row r="1255" spans="1:18" s="351" customFormat="1" ht="13.2" customHeight="1" x14ac:dyDescent="0.25">
      <c r="A1255" s="185" t="s">
        <v>3797</v>
      </c>
      <c r="B1255" s="352" t="s">
        <v>1326</v>
      </c>
      <c r="C1255" s="187" t="s">
        <v>1497</v>
      </c>
      <c r="D1255" s="225" t="s">
        <v>3865</v>
      </c>
      <c r="E1255" s="190" t="s">
        <v>5</v>
      </c>
      <c r="F1255" s="227"/>
      <c r="G1255" s="233">
        <v>44550</v>
      </c>
      <c r="H1255" s="252">
        <v>221</v>
      </c>
      <c r="I1255" s="188">
        <v>775</v>
      </c>
      <c r="J1255" s="188">
        <v>171275</v>
      </c>
      <c r="K1255" s="232">
        <v>44551</v>
      </c>
      <c r="L1255" s="475"/>
      <c r="M1255" s="489">
        <v>44545</v>
      </c>
      <c r="N1255" s="489"/>
      <c r="O1255" s="489"/>
    </row>
    <row r="1256" spans="1:18" s="351" customFormat="1" ht="13.2" customHeight="1" x14ac:dyDescent="0.25">
      <c r="A1256" s="185" t="s">
        <v>3797</v>
      </c>
      <c r="B1256" s="352" t="s">
        <v>1326</v>
      </c>
      <c r="C1256" s="187" t="s">
        <v>1497</v>
      </c>
      <c r="D1256" s="225" t="s">
        <v>3865</v>
      </c>
      <c r="E1256" s="190" t="s">
        <v>5</v>
      </c>
      <c r="F1256" s="227"/>
      <c r="G1256" s="233">
        <v>44550</v>
      </c>
      <c r="H1256" s="252">
        <v>26.2</v>
      </c>
      <c r="I1256" s="188">
        <v>946.18</v>
      </c>
      <c r="J1256" s="188">
        <v>24789.915999999997</v>
      </c>
      <c r="K1256" s="232">
        <v>44551</v>
      </c>
      <c r="L1256" s="475"/>
      <c r="M1256" s="489">
        <v>44545</v>
      </c>
      <c r="N1256" s="489"/>
      <c r="O1256" s="489"/>
    </row>
    <row r="1257" spans="1:18" s="351" customFormat="1" ht="13.2" customHeight="1" x14ac:dyDescent="0.25">
      <c r="A1257" s="185" t="s">
        <v>3798</v>
      </c>
      <c r="B1257" s="352" t="s">
        <v>1600</v>
      </c>
      <c r="C1257" s="187" t="s">
        <v>1497</v>
      </c>
      <c r="D1257" s="225" t="s">
        <v>3863</v>
      </c>
      <c r="E1257" s="190" t="s">
        <v>5</v>
      </c>
      <c r="F1257" s="227"/>
      <c r="G1257" s="233">
        <v>44550</v>
      </c>
      <c r="H1257" s="252">
        <v>801.6</v>
      </c>
      <c r="I1257" s="188">
        <v>966.18</v>
      </c>
      <c r="J1257" s="188">
        <v>774489.88800000004</v>
      </c>
      <c r="K1257" s="232">
        <v>44551</v>
      </c>
      <c r="L1257" s="475"/>
      <c r="M1257" s="489">
        <v>44545</v>
      </c>
      <c r="N1257" s="489"/>
      <c r="O1257" s="489"/>
    </row>
    <row r="1258" spans="1:18" s="351" customFormat="1" ht="13.2" customHeight="1" x14ac:dyDescent="0.25">
      <c r="A1258" s="185" t="s">
        <v>3799</v>
      </c>
      <c r="B1258" s="352" t="s">
        <v>1600</v>
      </c>
      <c r="C1258" s="187" t="s">
        <v>1497</v>
      </c>
      <c r="D1258" s="225" t="s">
        <v>3864</v>
      </c>
      <c r="E1258" s="190" t="s">
        <v>5</v>
      </c>
      <c r="F1258" s="227"/>
      <c r="G1258" s="233">
        <v>44550</v>
      </c>
      <c r="H1258" s="252">
        <v>600</v>
      </c>
      <c r="I1258" s="188">
        <v>966.18</v>
      </c>
      <c r="J1258" s="188">
        <v>579708</v>
      </c>
      <c r="K1258" s="232">
        <v>44551</v>
      </c>
      <c r="L1258" s="475"/>
      <c r="M1258" s="489">
        <v>44545</v>
      </c>
      <c r="N1258" s="489"/>
      <c r="O1258" s="489"/>
    </row>
    <row r="1259" spans="1:18" s="351" customFormat="1" ht="13.2" customHeight="1" x14ac:dyDescent="0.3">
      <c r="A1259" s="185" t="s">
        <v>3311</v>
      </c>
      <c r="B1259" s="352" t="s">
        <v>1326</v>
      </c>
      <c r="C1259" s="187" t="s">
        <v>2076</v>
      </c>
      <c r="D1259" s="225" t="s">
        <v>3842</v>
      </c>
      <c r="E1259" s="190">
        <v>30</v>
      </c>
      <c r="F1259" s="227" t="s">
        <v>20</v>
      </c>
      <c r="G1259" s="233">
        <v>44555</v>
      </c>
      <c r="H1259" s="252">
        <v>234</v>
      </c>
      <c r="I1259" s="188">
        <v>457</v>
      </c>
      <c r="J1259" s="188">
        <v>106938</v>
      </c>
      <c r="K1259" s="232">
        <v>44552</v>
      </c>
      <c r="L1259" s="475"/>
      <c r="M1259" s="489">
        <v>44543</v>
      </c>
      <c r="N1259" s="489"/>
      <c r="O1259" s="489"/>
      <c r="Q1259" s="351">
        <v>4</v>
      </c>
      <c r="R1259" s="351" t="s">
        <v>31</v>
      </c>
    </row>
    <row r="1260" spans="1:18" s="351" customFormat="1" ht="13.2" customHeight="1" x14ac:dyDescent="0.3">
      <c r="A1260" s="185" t="s">
        <v>3312</v>
      </c>
      <c r="B1260" s="352" t="s">
        <v>1326</v>
      </c>
      <c r="C1260" s="187" t="s">
        <v>2076</v>
      </c>
      <c r="D1260" s="225" t="s">
        <v>3830</v>
      </c>
      <c r="E1260" s="190">
        <v>30</v>
      </c>
      <c r="F1260" s="227" t="s">
        <v>20</v>
      </c>
      <c r="G1260" s="233">
        <v>44553</v>
      </c>
      <c r="H1260" s="252">
        <v>234</v>
      </c>
      <c r="I1260" s="188">
        <v>453</v>
      </c>
      <c r="J1260" s="188">
        <v>106002</v>
      </c>
      <c r="K1260" s="232">
        <v>44552</v>
      </c>
      <c r="L1260" s="475"/>
      <c r="M1260" s="489">
        <v>44537</v>
      </c>
      <c r="N1260" s="489"/>
      <c r="O1260" s="489"/>
      <c r="Q1260" s="351">
        <v>6</v>
      </c>
      <c r="R1260" s="351" t="s">
        <v>36</v>
      </c>
    </row>
    <row r="1261" spans="1:18" s="351" customFormat="1" ht="13.2" customHeight="1" x14ac:dyDescent="0.3">
      <c r="A1261" s="185" t="s">
        <v>3685</v>
      </c>
      <c r="B1261" s="352" t="s">
        <v>1649</v>
      </c>
      <c r="C1261" s="187" t="s">
        <v>331</v>
      </c>
      <c r="D1261" s="225" t="s">
        <v>3806</v>
      </c>
      <c r="E1261" s="190">
        <v>30</v>
      </c>
      <c r="F1261" s="227" t="s">
        <v>45</v>
      </c>
      <c r="G1261" s="233">
        <v>44556</v>
      </c>
      <c r="H1261" s="252">
        <v>324</v>
      </c>
      <c r="I1261" s="188">
        <v>296.06</v>
      </c>
      <c r="J1261" s="188">
        <v>95923.44</v>
      </c>
      <c r="K1261" s="232">
        <v>44554</v>
      </c>
      <c r="L1261" s="475"/>
      <c r="M1261" s="490">
        <v>44536</v>
      </c>
      <c r="N1261" s="490"/>
      <c r="O1261" s="490"/>
    </row>
    <row r="1262" spans="1:18" s="351" customFormat="1" ht="13.2" customHeight="1" x14ac:dyDescent="0.3">
      <c r="A1262" s="185" t="s">
        <v>3762</v>
      </c>
      <c r="B1262" s="352" t="s">
        <v>1649</v>
      </c>
      <c r="C1262" s="187" t="s">
        <v>331</v>
      </c>
      <c r="D1262" s="225" t="s">
        <v>3807</v>
      </c>
      <c r="E1262" s="190">
        <v>30</v>
      </c>
      <c r="F1262" s="227" t="s">
        <v>45</v>
      </c>
      <c r="G1262" s="233">
        <v>44556</v>
      </c>
      <c r="H1262" s="252">
        <v>297</v>
      </c>
      <c r="I1262" s="188">
        <v>296.06</v>
      </c>
      <c r="J1262" s="188">
        <v>87929.82</v>
      </c>
      <c r="K1262" s="232">
        <v>44554</v>
      </c>
      <c r="L1262" s="475"/>
      <c r="M1262" s="490">
        <v>44536</v>
      </c>
      <c r="N1262" s="490"/>
      <c r="O1262" s="490"/>
    </row>
    <row r="1263" spans="1:18" s="351" customFormat="1" ht="13.2" customHeight="1" x14ac:dyDescent="0.3">
      <c r="A1263" s="185" t="s">
        <v>3660</v>
      </c>
      <c r="B1263" s="352" t="s">
        <v>1649</v>
      </c>
      <c r="C1263" s="187" t="s">
        <v>331</v>
      </c>
      <c r="D1263" s="225" t="s">
        <v>3808</v>
      </c>
      <c r="E1263" s="190">
        <v>30</v>
      </c>
      <c r="F1263" s="227" t="s">
        <v>45</v>
      </c>
      <c r="G1263" s="233">
        <v>44556</v>
      </c>
      <c r="H1263" s="252">
        <v>540</v>
      </c>
      <c r="I1263" s="188">
        <v>296.06</v>
      </c>
      <c r="J1263" s="188">
        <v>159872.4</v>
      </c>
      <c r="K1263" s="232">
        <v>44554</v>
      </c>
      <c r="L1263" s="475"/>
      <c r="M1263" s="490">
        <v>44536</v>
      </c>
      <c r="N1263" s="490"/>
      <c r="O1263" s="490"/>
    </row>
    <row r="1264" spans="1:18" s="351" customFormat="1" ht="13.2" customHeight="1" x14ac:dyDescent="0.3">
      <c r="A1264" s="185" t="s">
        <v>3726</v>
      </c>
      <c r="B1264" s="352" t="s">
        <v>1525</v>
      </c>
      <c r="C1264" s="187" t="s">
        <v>331</v>
      </c>
      <c r="D1264" s="225" t="s">
        <v>552</v>
      </c>
      <c r="E1264" s="190" t="s">
        <v>5</v>
      </c>
      <c r="F1264" s="227" t="s">
        <v>2098</v>
      </c>
      <c r="G1264" s="233">
        <v>44558</v>
      </c>
      <c r="H1264" s="252">
        <v>4501</v>
      </c>
      <c r="I1264" s="188">
        <v>820.24</v>
      </c>
      <c r="J1264" s="188">
        <v>2953520.1920000003</v>
      </c>
      <c r="K1264" s="232">
        <v>44558</v>
      </c>
      <c r="L1264" s="475" t="s">
        <v>3737</v>
      </c>
      <c r="M1264" s="490">
        <v>44529</v>
      </c>
      <c r="N1264" s="490"/>
      <c r="O1264" s="490"/>
    </row>
    <row r="1265" spans="1:15" s="351" customFormat="1" ht="13.2" customHeight="1" x14ac:dyDescent="0.3">
      <c r="A1265" s="185" t="s">
        <v>3777</v>
      </c>
      <c r="B1265" s="352" t="s">
        <v>1649</v>
      </c>
      <c r="C1265" s="187" t="s">
        <v>331</v>
      </c>
      <c r="D1265" s="225" t="s">
        <v>3868</v>
      </c>
      <c r="E1265" s="190">
        <v>30</v>
      </c>
      <c r="F1265" s="227" t="s">
        <v>45</v>
      </c>
      <c r="G1265" s="233">
        <v>44568</v>
      </c>
      <c r="H1265" s="252">
        <v>162</v>
      </c>
      <c r="I1265" s="188">
        <v>296.06</v>
      </c>
      <c r="J1265" s="188">
        <f t="shared" ref="J1265:J1266" si="42">+I1265*H1265</f>
        <v>47961.72</v>
      </c>
      <c r="K1265" s="232">
        <v>44561</v>
      </c>
      <c r="L1265" s="475"/>
      <c r="M1265" s="501">
        <v>44544</v>
      </c>
      <c r="N1265" s="501"/>
      <c r="O1265" s="501"/>
    </row>
    <row r="1266" spans="1:15" s="351" customFormat="1" ht="13.2" customHeight="1" x14ac:dyDescent="0.3">
      <c r="A1266" s="185" t="s">
        <v>3774</v>
      </c>
      <c r="B1266" s="352" t="s">
        <v>1649</v>
      </c>
      <c r="C1266" s="187" t="s">
        <v>331</v>
      </c>
      <c r="D1266" s="225" t="s">
        <v>3873</v>
      </c>
      <c r="E1266" s="190">
        <v>30</v>
      </c>
      <c r="F1266" s="227" t="s">
        <v>45</v>
      </c>
      <c r="G1266" s="233">
        <v>44575</v>
      </c>
      <c r="H1266" s="252">
        <v>162</v>
      </c>
      <c r="I1266" s="188">
        <v>372.44</v>
      </c>
      <c r="J1266" s="188">
        <f t="shared" si="42"/>
        <v>60335.28</v>
      </c>
      <c r="K1266" s="232">
        <v>44561</v>
      </c>
      <c r="L1266" s="475"/>
      <c r="M1266" s="501">
        <v>44546</v>
      </c>
      <c r="N1266" s="501"/>
      <c r="O1266" s="501"/>
    </row>
    <row r="1267" spans="1:15" s="351" customFormat="1" ht="13.2" customHeight="1" x14ac:dyDescent="0.3">
      <c r="A1267" s="185" t="s">
        <v>3743</v>
      </c>
      <c r="B1267" s="352" t="s">
        <v>1649</v>
      </c>
      <c r="C1267" s="187" t="s">
        <v>331</v>
      </c>
      <c r="D1267" s="225" t="s">
        <v>3874</v>
      </c>
      <c r="E1267" s="190">
        <v>30</v>
      </c>
      <c r="F1267" s="227" t="s">
        <v>45</v>
      </c>
      <c r="G1267" s="233">
        <v>44575</v>
      </c>
      <c r="H1267" s="252">
        <v>270</v>
      </c>
      <c r="I1267" s="188">
        <v>372.44</v>
      </c>
      <c r="J1267" s="188">
        <f t="shared" ref="J1267" si="43">+I1267*H1267</f>
        <v>100558.8</v>
      </c>
      <c r="K1267" s="232">
        <v>44561</v>
      </c>
      <c r="L1267" s="475"/>
      <c r="M1267" s="501">
        <v>44546</v>
      </c>
      <c r="N1267" s="501"/>
      <c r="O1267" s="501"/>
    </row>
    <row r="1268" spans="1:15" s="351" customFormat="1" ht="13.2" customHeight="1" x14ac:dyDescent="0.3">
      <c r="A1268" s="185" t="s">
        <v>3761</v>
      </c>
      <c r="B1268" s="352" t="s">
        <v>1649</v>
      </c>
      <c r="C1268" s="187" t="s">
        <v>331</v>
      </c>
      <c r="D1268" s="225" t="s">
        <v>3867</v>
      </c>
      <c r="E1268" s="190">
        <v>30</v>
      </c>
      <c r="F1268" s="227" t="s">
        <v>45</v>
      </c>
      <c r="G1268" s="233">
        <v>44574</v>
      </c>
      <c r="H1268" s="252">
        <v>270</v>
      </c>
      <c r="I1268" s="188">
        <v>296.06</v>
      </c>
      <c r="J1268" s="188">
        <f t="shared" ref="J1268" si="44">+I1268*H1268</f>
        <v>79936.2</v>
      </c>
      <c r="K1268" s="232">
        <v>44561</v>
      </c>
      <c r="L1268" s="475"/>
      <c r="M1268" s="501">
        <v>44544</v>
      </c>
      <c r="N1268" s="501"/>
      <c r="O1268" s="501"/>
    </row>
    <row r="1269" spans="1:15" s="351" customFormat="1" ht="13.2" customHeight="1" x14ac:dyDescent="0.25">
      <c r="A1269" s="185" t="s">
        <v>3728</v>
      </c>
      <c r="B1269" s="352" t="s">
        <v>1687</v>
      </c>
      <c r="C1269" s="187" t="s">
        <v>1497</v>
      </c>
      <c r="D1269" s="225" t="s">
        <v>3885</v>
      </c>
      <c r="E1269" s="190" t="s">
        <v>5</v>
      </c>
      <c r="F1269" s="227"/>
      <c r="G1269" s="233">
        <v>44565</v>
      </c>
      <c r="H1269" s="252">
        <v>512.5</v>
      </c>
      <c r="I1269" s="188">
        <v>2194</v>
      </c>
      <c r="J1269" s="188">
        <f>+I1269*H1269</f>
        <v>1124425</v>
      </c>
      <c r="K1269" s="232">
        <v>44564</v>
      </c>
      <c r="L1269" s="475"/>
      <c r="M1269" s="501">
        <v>44560</v>
      </c>
      <c r="N1269" s="501"/>
      <c r="O1269" s="501"/>
    </row>
    <row r="1270" spans="1:15" s="351" customFormat="1" ht="13.2" customHeight="1" x14ac:dyDescent="0.3">
      <c r="A1270" s="185" t="s">
        <v>3679</v>
      </c>
      <c r="B1270" s="352" t="s">
        <v>653</v>
      </c>
      <c r="C1270" s="187" t="s">
        <v>1496</v>
      </c>
      <c r="D1270" s="225" t="s">
        <v>3702</v>
      </c>
      <c r="E1270" s="190">
        <v>60</v>
      </c>
      <c r="F1270" s="227" t="s">
        <v>20</v>
      </c>
      <c r="G1270" s="233">
        <v>44564</v>
      </c>
      <c r="H1270" s="252">
        <v>140</v>
      </c>
      <c r="I1270" s="188">
        <v>795</v>
      </c>
      <c r="J1270" s="188">
        <v>111300</v>
      </c>
      <c r="K1270" s="232">
        <v>44565</v>
      </c>
      <c r="L1270" s="475"/>
      <c r="M1270" s="501">
        <v>44536</v>
      </c>
      <c r="N1270" s="501"/>
      <c r="O1270" s="501"/>
    </row>
    <row r="1271" spans="1:15" s="351" customFormat="1" ht="13.2" customHeight="1" x14ac:dyDescent="0.3">
      <c r="A1271" s="185" t="s">
        <v>3536</v>
      </c>
      <c r="B1271" s="352" t="s">
        <v>1292</v>
      </c>
      <c r="C1271" s="187" t="s">
        <v>280</v>
      </c>
      <c r="D1271" s="225" t="s">
        <v>3366</v>
      </c>
      <c r="E1271" s="190">
        <v>90</v>
      </c>
      <c r="F1271" s="227" t="s">
        <v>20</v>
      </c>
      <c r="G1271" s="233">
        <v>44568</v>
      </c>
      <c r="H1271" s="252">
        <v>1200</v>
      </c>
      <c r="I1271" s="188">
        <v>195</v>
      </c>
      <c r="J1271" s="188">
        <f>+I1271*H1271</f>
        <v>234000</v>
      </c>
      <c r="K1271" s="232">
        <v>44567</v>
      </c>
      <c r="L1271" s="475"/>
      <c r="M1271" s="501"/>
      <c r="N1271" s="501"/>
      <c r="O1271" s="501"/>
    </row>
    <row r="1272" spans="1:15" s="351" customFormat="1" ht="13.2" customHeight="1" x14ac:dyDescent="0.3">
      <c r="A1272" s="185" t="s">
        <v>3592</v>
      </c>
      <c r="B1272" s="352" t="s">
        <v>1292</v>
      </c>
      <c r="C1272" s="187" t="s">
        <v>280</v>
      </c>
      <c r="D1272" s="225" t="s">
        <v>3366</v>
      </c>
      <c r="E1272" s="190">
        <v>90</v>
      </c>
      <c r="F1272" s="227" t="s">
        <v>20</v>
      </c>
      <c r="G1272" s="233">
        <v>44568</v>
      </c>
      <c r="H1272" s="252">
        <v>210</v>
      </c>
      <c r="I1272" s="188">
        <v>249</v>
      </c>
      <c r="J1272" s="188">
        <f>+I1272*H1272</f>
        <v>52290</v>
      </c>
      <c r="K1272" s="232">
        <v>44567</v>
      </c>
      <c r="L1272" s="475"/>
      <c r="M1272" s="501"/>
      <c r="N1272" s="501"/>
      <c r="O1272" s="501"/>
    </row>
    <row r="1273" spans="1:15" s="351" customFormat="1" ht="13.2" customHeight="1" x14ac:dyDescent="0.25">
      <c r="A1273" s="185" t="s">
        <v>514</v>
      </c>
      <c r="B1273" s="352" t="s">
        <v>1292</v>
      </c>
      <c r="C1273" s="187" t="s">
        <v>280</v>
      </c>
      <c r="D1273" s="225"/>
      <c r="E1273" s="190"/>
      <c r="F1273" s="227"/>
      <c r="G1273" s="233">
        <v>44568</v>
      </c>
      <c r="H1273" s="252"/>
      <c r="I1273" s="188"/>
      <c r="J1273" s="188">
        <v>-667.03039999999999</v>
      </c>
      <c r="K1273" s="232">
        <v>44567</v>
      </c>
      <c r="L1273" s="475"/>
      <c r="M1273" s="501"/>
      <c r="N1273" s="501"/>
      <c r="O1273" s="501"/>
    </row>
    <row r="1274" spans="1:15" s="351" customFormat="1" ht="13.2" customHeight="1" x14ac:dyDescent="0.25">
      <c r="A1274" s="185" t="s">
        <v>514</v>
      </c>
      <c r="B1274" s="352" t="s">
        <v>1292</v>
      </c>
      <c r="C1274" s="187" t="s">
        <v>280</v>
      </c>
      <c r="D1274" s="225"/>
      <c r="E1274" s="190"/>
      <c r="F1274" s="227"/>
      <c r="G1274" s="233">
        <v>44568</v>
      </c>
      <c r="H1274" s="252"/>
      <c r="I1274" s="188"/>
      <c r="J1274" s="188">
        <v>-4329.17</v>
      </c>
      <c r="K1274" s="232">
        <v>44567</v>
      </c>
      <c r="L1274" s="475"/>
      <c r="M1274" s="501"/>
      <c r="N1274" s="501"/>
      <c r="O1274" s="501"/>
    </row>
    <row r="1275" spans="1:15" s="351" customFormat="1" ht="13.2" customHeight="1" x14ac:dyDescent="0.3">
      <c r="A1275" s="185" t="s">
        <v>3733</v>
      </c>
      <c r="B1275" s="352" t="s">
        <v>653</v>
      </c>
      <c r="C1275" s="187" t="s">
        <v>1496</v>
      </c>
      <c r="D1275" s="225" t="s">
        <v>3759</v>
      </c>
      <c r="E1275" s="190">
        <v>60</v>
      </c>
      <c r="F1275" s="227" t="s">
        <v>20</v>
      </c>
      <c r="G1275" s="233">
        <v>44568</v>
      </c>
      <c r="H1275" s="252">
        <v>84</v>
      </c>
      <c r="I1275" s="188">
        <v>795</v>
      </c>
      <c r="J1275" s="188">
        <v>66780</v>
      </c>
      <c r="K1275" s="232">
        <v>44567</v>
      </c>
      <c r="L1275" s="475"/>
      <c r="M1275" s="501">
        <v>44554</v>
      </c>
      <c r="N1275" s="501"/>
      <c r="O1275" s="501"/>
    </row>
    <row r="1276" spans="1:15" s="351" customFormat="1" ht="13.2" customHeight="1" x14ac:dyDescent="0.3">
      <c r="A1276" s="185" t="s">
        <v>3756</v>
      </c>
      <c r="B1276" s="352" t="s">
        <v>653</v>
      </c>
      <c r="C1276" s="187" t="s">
        <v>1496</v>
      </c>
      <c r="D1276" s="225" t="s">
        <v>3759</v>
      </c>
      <c r="E1276" s="190">
        <v>60</v>
      </c>
      <c r="F1276" s="227" t="s">
        <v>20</v>
      </c>
      <c r="G1276" s="233">
        <v>44568</v>
      </c>
      <c r="H1276" s="252">
        <v>56</v>
      </c>
      <c r="I1276" s="188">
        <v>795</v>
      </c>
      <c r="J1276" s="188">
        <v>44520</v>
      </c>
      <c r="K1276" s="232">
        <v>44567</v>
      </c>
      <c r="L1276" s="475"/>
      <c r="M1276" s="501">
        <v>44554</v>
      </c>
      <c r="N1276" s="501"/>
      <c r="O1276" s="501"/>
    </row>
    <row r="1277" spans="1:15" s="351" customFormat="1" ht="13.2" customHeight="1" x14ac:dyDescent="0.3">
      <c r="A1277" s="185" t="s">
        <v>3500</v>
      </c>
      <c r="B1277" s="352" t="s">
        <v>1325</v>
      </c>
      <c r="C1277" s="187" t="s">
        <v>928</v>
      </c>
      <c r="D1277" s="225" t="s">
        <v>3673</v>
      </c>
      <c r="E1277" s="190">
        <v>90</v>
      </c>
      <c r="F1277" s="227" t="s">
        <v>20</v>
      </c>
      <c r="G1277" s="233">
        <v>44572</v>
      </c>
      <c r="H1277" s="252">
        <v>408</v>
      </c>
      <c r="I1277" s="188">
        <v>1546</v>
      </c>
      <c r="J1277" s="188">
        <v>630768</v>
      </c>
      <c r="K1277" s="232">
        <v>44572</v>
      </c>
      <c r="L1277" s="475"/>
      <c r="M1277" s="504">
        <v>44554</v>
      </c>
      <c r="N1277" s="504"/>
      <c r="O1277" s="504"/>
    </row>
    <row r="1278" spans="1:15" s="351" customFormat="1" ht="13.2" customHeight="1" x14ac:dyDescent="0.3">
      <c r="A1278" s="185" t="s">
        <v>3755</v>
      </c>
      <c r="B1278" s="352" t="s">
        <v>653</v>
      </c>
      <c r="C1278" s="187" t="s">
        <v>1496</v>
      </c>
      <c r="D1278" s="225" t="s">
        <v>3760</v>
      </c>
      <c r="E1278" s="190">
        <v>60</v>
      </c>
      <c r="F1278" s="227" t="s">
        <v>20</v>
      </c>
      <c r="G1278" s="233">
        <v>44575</v>
      </c>
      <c r="H1278" s="252">
        <v>140</v>
      </c>
      <c r="I1278" s="188">
        <v>795</v>
      </c>
      <c r="J1278" s="188">
        <v>111300</v>
      </c>
      <c r="K1278" s="232">
        <v>44575</v>
      </c>
      <c r="L1278" s="475"/>
      <c r="M1278" s="504">
        <v>44554</v>
      </c>
      <c r="N1278" s="504"/>
      <c r="O1278" s="504"/>
    </row>
    <row r="1279" spans="1:15" s="351" customFormat="1" ht="13.2" customHeight="1" x14ac:dyDescent="0.3">
      <c r="A1279" s="185" t="s">
        <v>3757</v>
      </c>
      <c r="B1279" s="352" t="s">
        <v>653</v>
      </c>
      <c r="C1279" s="187" t="s">
        <v>1496</v>
      </c>
      <c r="D1279" s="225" t="s">
        <v>3804</v>
      </c>
      <c r="E1279" s="190">
        <v>60</v>
      </c>
      <c r="F1279" s="227" t="s">
        <v>20</v>
      </c>
      <c r="G1279" s="233">
        <v>44575</v>
      </c>
      <c r="H1279" s="252">
        <v>28</v>
      </c>
      <c r="I1279" s="188">
        <v>795</v>
      </c>
      <c r="J1279" s="188">
        <v>22260</v>
      </c>
      <c r="K1279" s="232">
        <v>44575</v>
      </c>
      <c r="L1279" s="475"/>
      <c r="M1279" s="504">
        <v>44567</v>
      </c>
      <c r="N1279" s="504"/>
      <c r="O1279" s="504"/>
    </row>
    <row r="1280" spans="1:15" s="351" customFormat="1" ht="13.2" customHeight="1" x14ac:dyDescent="0.3">
      <c r="A1280" s="185" t="s">
        <v>3758</v>
      </c>
      <c r="B1280" s="352" t="s">
        <v>653</v>
      </c>
      <c r="C1280" s="187" t="s">
        <v>1496</v>
      </c>
      <c r="D1280" s="225" t="s">
        <v>3804</v>
      </c>
      <c r="E1280" s="190">
        <v>60</v>
      </c>
      <c r="F1280" s="227" t="s">
        <v>20</v>
      </c>
      <c r="G1280" s="233">
        <v>44575</v>
      </c>
      <c r="H1280" s="252">
        <v>56</v>
      </c>
      <c r="I1280" s="188">
        <v>795</v>
      </c>
      <c r="J1280" s="188">
        <v>44520</v>
      </c>
      <c r="K1280" s="232">
        <v>44575</v>
      </c>
      <c r="L1280" s="475"/>
      <c r="M1280" s="504">
        <v>44567</v>
      </c>
      <c r="N1280" s="504"/>
      <c r="O1280" s="504"/>
    </row>
    <row r="1281" spans="1:18" s="351" customFormat="1" ht="13.2" customHeight="1" x14ac:dyDescent="0.3">
      <c r="A1281" s="185" t="s">
        <v>3801</v>
      </c>
      <c r="B1281" s="352" t="s">
        <v>653</v>
      </c>
      <c r="C1281" s="187" t="s">
        <v>1496</v>
      </c>
      <c r="D1281" s="225" t="s">
        <v>3804</v>
      </c>
      <c r="E1281" s="190">
        <v>60</v>
      </c>
      <c r="F1281" s="227" t="s">
        <v>20</v>
      </c>
      <c r="G1281" s="233">
        <v>44575</v>
      </c>
      <c r="H1281" s="252">
        <v>56</v>
      </c>
      <c r="I1281" s="188">
        <v>795</v>
      </c>
      <c r="J1281" s="188">
        <v>44520</v>
      </c>
      <c r="K1281" s="232">
        <v>44575</v>
      </c>
      <c r="L1281" s="475"/>
      <c r="M1281" s="504">
        <v>44567</v>
      </c>
      <c r="N1281" s="504"/>
      <c r="O1281" s="504"/>
    </row>
    <row r="1282" spans="1:18" s="351" customFormat="1" ht="13.2" customHeight="1" x14ac:dyDescent="0.3">
      <c r="A1282" s="185" t="s">
        <v>2802</v>
      </c>
      <c r="B1282" s="352" t="s">
        <v>1600</v>
      </c>
      <c r="C1282" s="187" t="s">
        <v>2374</v>
      </c>
      <c r="D1282" s="225" t="s">
        <v>3538</v>
      </c>
      <c r="E1282" s="190">
        <v>120</v>
      </c>
      <c r="F1282" s="227" t="s">
        <v>20</v>
      </c>
      <c r="G1282" s="233">
        <v>44575</v>
      </c>
      <c r="H1282" s="252">
        <v>224.08199999999999</v>
      </c>
      <c r="I1282" s="188">
        <v>495</v>
      </c>
      <c r="J1282" s="188">
        <v>110920.59</v>
      </c>
      <c r="K1282" s="232">
        <v>44575</v>
      </c>
      <c r="L1282" s="475"/>
      <c r="M1282" s="504">
        <v>44545</v>
      </c>
      <c r="N1282" s="504"/>
      <c r="O1282" s="504"/>
      <c r="Q1282" s="351">
        <v>6</v>
      </c>
      <c r="R1282" s="351" t="s">
        <v>36</v>
      </c>
    </row>
    <row r="1283" spans="1:18" s="351" customFormat="1" ht="13.2" customHeight="1" x14ac:dyDescent="0.3">
      <c r="A1283" s="185" t="s">
        <v>3323</v>
      </c>
      <c r="B1283" s="352" t="s">
        <v>1349</v>
      </c>
      <c r="C1283" s="187" t="s">
        <v>1436</v>
      </c>
      <c r="D1283" s="225" t="s">
        <v>552</v>
      </c>
      <c r="E1283" s="190">
        <v>150</v>
      </c>
      <c r="F1283" s="227" t="s">
        <v>20</v>
      </c>
      <c r="G1283" s="233">
        <v>44575</v>
      </c>
      <c r="H1283" s="252">
        <v>3900</v>
      </c>
      <c r="I1283" s="188">
        <v>539.79999999999995</v>
      </c>
      <c r="J1283" s="188">
        <v>2105220</v>
      </c>
      <c r="K1283" s="232">
        <v>44575</v>
      </c>
      <c r="L1283" s="475" t="s">
        <v>1534</v>
      </c>
      <c r="M1283" s="504">
        <v>44567</v>
      </c>
      <c r="N1283" s="504"/>
      <c r="O1283" s="504"/>
    </row>
    <row r="1284" spans="1:18" s="351" customFormat="1" ht="13.2" customHeight="1" x14ac:dyDescent="0.3">
      <c r="A1284" s="185" t="s">
        <v>3270</v>
      </c>
      <c r="B1284" s="352" t="s">
        <v>1293</v>
      </c>
      <c r="C1284" s="187" t="s">
        <v>1651</v>
      </c>
      <c r="D1284" s="225" t="s">
        <v>3667</v>
      </c>
      <c r="E1284" s="190">
        <v>90</v>
      </c>
      <c r="F1284" s="227" t="s">
        <v>20</v>
      </c>
      <c r="G1284" s="233">
        <v>44579</v>
      </c>
      <c r="H1284" s="252">
        <v>300</v>
      </c>
      <c r="I1284" s="188">
        <v>382</v>
      </c>
      <c r="J1284" s="188">
        <v>114600</v>
      </c>
      <c r="K1284" s="232">
        <v>44579</v>
      </c>
      <c r="L1284" s="475"/>
      <c r="M1284" s="504">
        <v>44574</v>
      </c>
      <c r="N1284" s="504"/>
      <c r="O1284" s="504"/>
    </row>
    <row r="1285" spans="1:18" s="351" customFormat="1" ht="13.2" customHeight="1" x14ac:dyDescent="0.3">
      <c r="A1285" s="185" t="s">
        <v>2803</v>
      </c>
      <c r="B1285" s="352" t="s">
        <v>1600</v>
      </c>
      <c r="C1285" s="187" t="s">
        <v>2374</v>
      </c>
      <c r="D1285" s="225" t="s">
        <v>3619</v>
      </c>
      <c r="E1285" s="190">
        <v>120</v>
      </c>
      <c r="F1285" s="227" t="s">
        <v>20</v>
      </c>
      <c r="G1285" s="233">
        <v>44579</v>
      </c>
      <c r="H1285" s="252">
        <v>223.93600000000001</v>
      </c>
      <c r="I1285" s="188">
        <v>485</v>
      </c>
      <c r="J1285" s="188">
        <v>108608.96000000001</v>
      </c>
      <c r="K1285" s="232">
        <v>44579</v>
      </c>
      <c r="L1285" s="475"/>
      <c r="M1285" s="504">
        <v>44545</v>
      </c>
      <c r="N1285" s="504"/>
      <c r="O1285" s="504"/>
      <c r="Q1285" s="351" t="e">
        <v>#REF!</v>
      </c>
      <c r="R1285" s="351" t="s">
        <v>37</v>
      </c>
    </row>
    <row r="1286" spans="1:18" s="351" customFormat="1" ht="13.2" customHeight="1" x14ac:dyDescent="0.3">
      <c r="A1286" s="185" t="s">
        <v>3593</v>
      </c>
      <c r="B1286" s="352" t="s">
        <v>1295</v>
      </c>
      <c r="C1286" s="187" t="s">
        <v>3414</v>
      </c>
      <c r="D1286" s="225" t="s">
        <v>3594</v>
      </c>
      <c r="E1286" s="190">
        <v>90</v>
      </c>
      <c r="F1286" s="227" t="s">
        <v>20</v>
      </c>
      <c r="G1286" s="233">
        <v>44579</v>
      </c>
      <c r="H1286" s="252">
        <v>450</v>
      </c>
      <c r="I1286" s="188">
        <v>1040</v>
      </c>
      <c r="J1286" s="188">
        <v>468000</v>
      </c>
      <c r="K1286" s="232">
        <v>44579</v>
      </c>
      <c r="L1286" s="475"/>
      <c r="M1286" s="504">
        <v>44567</v>
      </c>
      <c r="N1286" s="504"/>
      <c r="O1286" s="504"/>
    </row>
    <row r="1287" spans="1:18" s="351" customFormat="1" ht="13.2" customHeight="1" x14ac:dyDescent="0.3">
      <c r="A1287" s="185" t="s">
        <v>3410</v>
      </c>
      <c r="B1287" s="352" t="s">
        <v>1295</v>
      </c>
      <c r="C1287" s="187" t="s">
        <v>3414</v>
      </c>
      <c r="D1287" s="225" t="s">
        <v>3550</v>
      </c>
      <c r="E1287" s="190">
        <v>90</v>
      </c>
      <c r="F1287" s="227" t="s">
        <v>20</v>
      </c>
      <c r="G1287" s="233">
        <v>44579</v>
      </c>
      <c r="H1287" s="252">
        <v>100</v>
      </c>
      <c r="I1287" s="188">
        <v>1060</v>
      </c>
      <c r="J1287" s="188">
        <v>106000</v>
      </c>
      <c r="K1287" s="232">
        <v>44579</v>
      </c>
      <c r="L1287" s="475"/>
      <c r="M1287" s="504">
        <v>44567</v>
      </c>
      <c r="N1287" s="504"/>
      <c r="O1287" s="504"/>
    </row>
    <row r="1288" spans="1:18" s="351" customFormat="1" ht="13.2" customHeight="1" x14ac:dyDescent="0.3">
      <c r="A1288" s="185" t="s">
        <v>3412</v>
      </c>
      <c r="B1288" s="352" t="s">
        <v>1293</v>
      </c>
      <c r="C1288" s="187" t="s">
        <v>3414</v>
      </c>
      <c r="D1288" s="225" t="s">
        <v>3556</v>
      </c>
      <c r="E1288" s="190">
        <v>90</v>
      </c>
      <c r="F1288" s="227" t="s">
        <v>20</v>
      </c>
      <c r="G1288" s="233">
        <v>44579</v>
      </c>
      <c r="H1288" s="252">
        <v>175</v>
      </c>
      <c r="I1288" s="188">
        <v>395</v>
      </c>
      <c r="J1288" s="188">
        <v>69125</v>
      </c>
      <c r="K1288" s="232">
        <v>44579</v>
      </c>
      <c r="L1288" s="475"/>
      <c r="M1288" s="504">
        <v>44567</v>
      </c>
      <c r="N1288" s="504"/>
      <c r="O1288" s="504"/>
    </row>
    <row r="1289" spans="1:18" s="351" customFormat="1" ht="13.2" customHeight="1" x14ac:dyDescent="0.3">
      <c r="A1289" s="185" t="s">
        <v>3484</v>
      </c>
      <c r="B1289" s="352" t="s">
        <v>3485</v>
      </c>
      <c r="C1289" s="187" t="s">
        <v>1497</v>
      </c>
      <c r="D1289" s="225" t="s">
        <v>3732</v>
      </c>
      <c r="E1289" s="190">
        <v>90</v>
      </c>
      <c r="F1289" s="227" t="s">
        <v>20</v>
      </c>
      <c r="G1289" s="233">
        <v>44582</v>
      </c>
      <c r="H1289" s="252">
        <v>24.65</v>
      </c>
      <c r="I1289" s="188">
        <v>1059</v>
      </c>
      <c r="J1289" s="188">
        <v>26104.35</v>
      </c>
      <c r="K1289" s="232">
        <v>44580</v>
      </c>
      <c r="L1289" s="475"/>
      <c r="M1289" s="505">
        <v>44574</v>
      </c>
      <c r="N1289" s="505"/>
      <c r="O1289" s="505"/>
    </row>
    <row r="1290" spans="1:18" s="351" customFormat="1" ht="13.2" customHeight="1" x14ac:dyDescent="0.3">
      <c r="A1290" s="185" t="s">
        <v>3771</v>
      </c>
      <c r="B1290" s="352" t="s">
        <v>1649</v>
      </c>
      <c r="C1290" s="187" t="s">
        <v>331</v>
      </c>
      <c r="D1290" s="225" t="s">
        <v>3905</v>
      </c>
      <c r="E1290" s="190">
        <v>30</v>
      </c>
      <c r="F1290" s="227" t="s">
        <v>45</v>
      </c>
      <c r="G1290" s="233">
        <v>44582</v>
      </c>
      <c r="H1290" s="252">
        <v>270</v>
      </c>
      <c r="I1290" s="188">
        <v>372.44</v>
      </c>
      <c r="J1290" s="188">
        <v>100558.8</v>
      </c>
      <c r="K1290" s="232">
        <v>44581</v>
      </c>
      <c r="L1290" s="475"/>
      <c r="M1290" s="505">
        <v>44574</v>
      </c>
      <c r="N1290" s="505"/>
      <c r="O1290" s="505"/>
    </row>
    <row r="1291" spans="1:18" s="351" customFormat="1" ht="13.2" customHeight="1" x14ac:dyDescent="0.3">
      <c r="A1291" s="185" t="s">
        <v>3775</v>
      </c>
      <c r="B1291" s="352" t="s">
        <v>1649</v>
      </c>
      <c r="C1291" s="187" t="s">
        <v>331</v>
      </c>
      <c r="D1291" s="225" t="s">
        <v>3906</v>
      </c>
      <c r="E1291" s="190">
        <v>30</v>
      </c>
      <c r="F1291" s="227" t="s">
        <v>45</v>
      </c>
      <c r="G1291" s="233">
        <v>44582</v>
      </c>
      <c r="H1291" s="252">
        <v>216</v>
      </c>
      <c r="I1291" s="188">
        <v>372.44</v>
      </c>
      <c r="J1291" s="188">
        <v>80447.039999999994</v>
      </c>
      <c r="K1291" s="232">
        <v>44581</v>
      </c>
      <c r="L1291" s="475"/>
      <c r="M1291" s="505">
        <v>44574</v>
      </c>
      <c r="N1291" s="505"/>
      <c r="O1291" s="505"/>
    </row>
    <row r="1292" spans="1:18" s="351" customFormat="1" ht="13.2" customHeight="1" x14ac:dyDescent="0.25">
      <c r="A1292" s="185" t="s">
        <v>3749</v>
      </c>
      <c r="B1292" s="352" t="s">
        <v>1274</v>
      </c>
      <c r="C1292" s="187" t="s">
        <v>3751</v>
      </c>
      <c r="D1292" s="225" t="s">
        <v>3813</v>
      </c>
      <c r="E1292" s="190" t="s">
        <v>5</v>
      </c>
      <c r="F1292" s="227"/>
      <c r="G1292" s="233">
        <v>44582</v>
      </c>
      <c r="H1292" s="252">
        <v>513.6</v>
      </c>
      <c r="I1292" s="188">
        <v>1030</v>
      </c>
      <c r="J1292" s="188">
        <v>529008</v>
      </c>
      <c r="K1292" s="232">
        <v>44582</v>
      </c>
      <c r="L1292" s="475"/>
      <c r="M1292" s="505">
        <v>44579</v>
      </c>
      <c r="N1292" s="505"/>
      <c r="O1292" s="505"/>
    </row>
    <row r="1293" spans="1:18" s="351" customFormat="1" ht="13.2" customHeight="1" x14ac:dyDescent="0.3">
      <c r="A1293" s="185" t="s">
        <v>3852</v>
      </c>
      <c r="B1293" s="352" t="s">
        <v>1785</v>
      </c>
      <c r="C1293" s="187" t="s">
        <v>331</v>
      </c>
      <c r="D1293" s="506" t="s">
        <v>3968</v>
      </c>
      <c r="E1293" s="190" t="s">
        <v>5</v>
      </c>
      <c r="F1293" s="227"/>
      <c r="G1293" s="233">
        <v>44591</v>
      </c>
      <c r="H1293" s="252">
        <v>107.82</v>
      </c>
      <c r="I1293" s="188">
        <v>475.68</v>
      </c>
      <c r="J1293" s="188">
        <v>51287.817599999995</v>
      </c>
      <c r="K1293" s="232">
        <v>44582</v>
      </c>
      <c r="L1293" s="475"/>
      <c r="M1293" s="505"/>
      <c r="N1293" s="505"/>
      <c r="O1293" s="505"/>
    </row>
    <row r="1294" spans="1:18" s="351" customFormat="1" ht="13.2" customHeight="1" x14ac:dyDescent="0.3">
      <c r="A1294" s="185" t="s">
        <v>3843</v>
      </c>
      <c r="B1294" s="352" t="s">
        <v>1782</v>
      </c>
      <c r="C1294" s="187" t="s">
        <v>331</v>
      </c>
      <c r="D1294" s="506" t="s">
        <v>3969</v>
      </c>
      <c r="E1294" s="190" t="s">
        <v>5</v>
      </c>
      <c r="F1294" s="227"/>
      <c r="G1294" s="233">
        <f>+K1294+5</f>
        <v>44586</v>
      </c>
      <c r="H1294" s="252">
        <v>176</v>
      </c>
      <c r="I1294" s="188">
        <v>889.86</v>
      </c>
      <c r="J1294" s="188">
        <f>+I1294*H1294</f>
        <v>156615.36000000002</v>
      </c>
      <c r="K1294" s="232">
        <v>44581</v>
      </c>
      <c r="L1294" s="475"/>
      <c r="M1294" s="505"/>
      <c r="N1294" s="505"/>
      <c r="O1294" s="505"/>
    </row>
    <row r="1295" spans="1:18" s="351" customFormat="1" ht="13.2" customHeight="1" x14ac:dyDescent="0.3">
      <c r="A1295" s="185" t="s">
        <v>2979</v>
      </c>
      <c r="B1295" s="352" t="s">
        <v>1386</v>
      </c>
      <c r="C1295" s="187" t="s">
        <v>494</v>
      </c>
      <c r="D1295" s="506" t="s">
        <v>552</v>
      </c>
      <c r="E1295" s="190">
        <v>150</v>
      </c>
      <c r="F1295" s="227" t="s">
        <v>20</v>
      </c>
      <c r="G1295" s="233">
        <v>44585</v>
      </c>
      <c r="H1295" s="252">
        <v>3610</v>
      </c>
      <c r="I1295" s="188">
        <v>397</v>
      </c>
      <c r="J1295" s="188">
        <v>1433170</v>
      </c>
      <c r="K1295" s="232">
        <v>44580</v>
      </c>
      <c r="L1295" s="475" t="s">
        <v>3423</v>
      </c>
      <c r="M1295" s="507">
        <v>44574</v>
      </c>
      <c r="N1295" s="507"/>
      <c r="O1295" s="507"/>
      <c r="Q1295" s="351">
        <v>9</v>
      </c>
      <c r="R1295" s="351" t="s">
        <v>40</v>
      </c>
    </row>
    <row r="1296" spans="1:18" s="351" customFormat="1" ht="13.2" customHeight="1" x14ac:dyDescent="0.3">
      <c r="A1296" s="185" t="s">
        <v>2980</v>
      </c>
      <c r="B1296" s="352" t="s">
        <v>1349</v>
      </c>
      <c r="C1296" s="187" t="s">
        <v>494</v>
      </c>
      <c r="D1296" s="506" t="s">
        <v>552</v>
      </c>
      <c r="E1296" s="190">
        <v>150</v>
      </c>
      <c r="F1296" s="227" t="s">
        <v>20</v>
      </c>
      <c r="G1296" s="233">
        <v>44585</v>
      </c>
      <c r="H1296" s="252">
        <v>5400</v>
      </c>
      <c r="I1296" s="188">
        <v>395</v>
      </c>
      <c r="J1296" s="188">
        <v>2133000</v>
      </c>
      <c r="K1296" s="232">
        <v>44580</v>
      </c>
      <c r="L1296" s="475" t="s">
        <v>3423</v>
      </c>
      <c r="M1296" s="507">
        <v>44574</v>
      </c>
      <c r="N1296" s="507"/>
      <c r="O1296" s="507"/>
      <c r="Q1296" s="351">
        <v>10</v>
      </c>
      <c r="R1296" s="351" t="s">
        <v>26</v>
      </c>
    </row>
    <row r="1297" spans="1:18" s="351" customFormat="1" ht="13.2" customHeight="1" x14ac:dyDescent="0.3">
      <c r="A1297" s="185" t="s">
        <v>3800</v>
      </c>
      <c r="B1297" s="352" t="s">
        <v>653</v>
      </c>
      <c r="C1297" s="187" t="s">
        <v>1496</v>
      </c>
      <c r="D1297" s="506" t="s">
        <v>3805</v>
      </c>
      <c r="E1297" s="190">
        <v>60</v>
      </c>
      <c r="F1297" s="227" t="s">
        <v>20</v>
      </c>
      <c r="G1297" s="233">
        <v>44590</v>
      </c>
      <c r="H1297" s="252">
        <v>112</v>
      </c>
      <c r="I1297" s="188">
        <v>795</v>
      </c>
      <c r="J1297" s="188">
        <v>89040</v>
      </c>
      <c r="K1297" s="232">
        <v>44588</v>
      </c>
      <c r="L1297" s="475"/>
      <c r="M1297" s="507">
        <v>44574</v>
      </c>
      <c r="N1297" s="507"/>
      <c r="O1297" s="507"/>
    </row>
    <row r="1298" spans="1:18" s="351" customFormat="1" ht="13.2" customHeight="1" x14ac:dyDescent="0.3">
      <c r="A1298" s="185" t="s">
        <v>3802</v>
      </c>
      <c r="B1298" s="352" t="s">
        <v>653</v>
      </c>
      <c r="C1298" s="187" t="s">
        <v>1496</v>
      </c>
      <c r="D1298" s="506" t="s">
        <v>3805</v>
      </c>
      <c r="E1298" s="190">
        <v>60</v>
      </c>
      <c r="F1298" s="227" t="s">
        <v>20</v>
      </c>
      <c r="G1298" s="233">
        <v>44590</v>
      </c>
      <c r="H1298" s="252">
        <v>28</v>
      </c>
      <c r="I1298" s="188">
        <v>795</v>
      </c>
      <c r="J1298" s="188">
        <v>22260</v>
      </c>
      <c r="K1298" s="232">
        <v>44588</v>
      </c>
      <c r="L1298" s="475"/>
      <c r="M1298" s="507">
        <v>44574</v>
      </c>
      <c r="N1298" s="507"/>
      <c r="O1298" s="507"/>
    </row>
    <row r="1299" spans="1:18" s="351" customFormat="1" ht="13.2" customHeight="1" x14ac:dyDescent="0.3">
      <c r="A1299" s="185" t="s">
        <v>3776</v>
      </c>
      <c r="B1299" s="352" t="s">
        <v>1649</v>
      </c>
      <c r="C1299" s="187" t="s">
        <v>331</v>
      </c>
      <c r="D1299" s="506" t="s">
        <v>3907</v>
      </c>
      <c r="E1299" s="190">
        <v>30</v>
      </c>
      <c r="F1299" s="227" t="s">
        <v>45</v>
      </c>
      <c r="G1299" s="233">
        <v>44589</v>
      </c>
      <c r="H1299" s="252">
        <v>216</v>
      </c>
      <c r="I1299" s="188">
        <v>372.44</v>
      </c>
      <c r="J1299" s="188">
        <v>80447.039999999994</v>
      </c>
      <c r="K1299" s="232">
        <v>44588</v>
      </c>
      <c r="L1299" s="475"/>
      <c r="M1299" s="507">
        <v>44574</v>
      </c>
      <c r="N1299" s="507"/>
      <c r="O1299" s="507"/>
    </row>
    <row r="1300" spans="1:18" s="351" customFormat="1" ht="13.2" customHeight="1" x14ac:dyDescent="0.3">
      <c r="A1300" s="185" t="s">
        <v>3772</v>
      </c>
      <c r="B1300" s="352" t="s">
        <v>1649</v>
      </c>
      <c r="C1300" s="187" t="s">
        <v>331</v>
      </c>
      <c r="D1300" s="506" t="s">
        <v>3971</v>
      </c>
      <c r="E1300" s="190">
        <v>30</v>
      </c>
      <c r="F1300" s="227" t="s">
        <v>45</v>
      </c>
      <c r="G1300" s="233">
        <v>44598</v>
      </c>
      <c r="H1300" s="252">
        <v>270</v>
      </c>
      <c r="I1300" s="188">
        <v>372.44</v>
      </c>
      <c r="J1300" s="188">
        <f>+I1300*H1300</f>
        <v>100558.8</v>
      </c>
      <c r="K1300" s="232">
        <v>44592</v>
      </c>
      <c r="L1300" s="475"/>
      <c r="M1300" s="508">
        <v>44585</v>
      </c>
      <c r="N1300" s="508"/>
      <c r="O1300" s="508"/>
    </row>
    <row r="1301" spans="1:18" s="351" customFormat="1" ht="13.2" customHeight="1" x14ac:dyDescent="0.3">
      <c r="A1301" s="185" t="s">
        <v>3506</v>
      </c>
      <c r="B1301" s="352" t="s">
        <v>1785</v>
      </c>
      <c r="C1301" s="187" t="s">
        <v>331</v>
      </c>
      <c r="D1301" s="506" t="s">
        <v>3985</v>
      </c>
      <c r="E1301" s="190" t="s">
        <v>5</v>
      </c>
      <c r="F1301" s="227"/>
      <c r="G1301" s="233">
        <v>44593</v>
      </c>
      <c r="H1301" s="252">
        <v>53.85</v>
      </c>
      <c r="I1301" s="188">
        <v>366.37</v>
      </c>
      <c r="J1301" s="188">
        <v>19729.0245</v>
      </c>
      <c r="K1301" s="232">
        <v>44595</v>
      </c>
      <c r="L1301" s="475"/>
      <c r="M1301" s="508">
        <v>44592</v>
      </c>
      <c r="N1301" s="508"/>
      <c r="O1301" s="508"/>
    </row>
    <row r="1302" spans="1:18" s="351" customFormat="1" ht="13.2" customHeight="1" x14ac:dyDescent="0.3">
      <c r="A1302" s="185" t="s">
        <v>3803</v>
      </c>
      <c r="B1302" s="352" t="s">
        <v>653</v>
      </c>
      <c r="C1302" s="187" t="s">
        <v>1496</v>
      </c>
      <c r="D1302" s="506" t="s">
        <v>3896</v>
      </c>
      <c r="E1302" s="190">
        <v>60</v>
      </c>
      <c r="F1302" s="227" t="s">
        <v>45</v>
      </c>
      <c r="G1302" s="233">
        <v>44595</v>
      </c>
      <c r="H1302" s="252">
        <v>140</v>
      </c>
      <c r="I1302" s="188">
        <v>795</v>
      </c>
      <c r="J1302" s="188">
        <v>111300</v>
      </c>
      <c r="K1302" s="232">
        <v>44595</v>
      </c>
      <c r="L1302" s="475"/>
      <c r="M1302" s="508">
        <v>44574</v>
      </c>
      <c r="N1302" s="508"/>
      <c r="O1302" s="508"/>
    </row>
    <row r="1303" spans="1:18" s="351" customFormat="1" ht="13.2" customHeight="1" x14ac:dyDescent="0.3">
      <c r="A1303" s="185" t="s">
        <v>3899</v>
      </c>
      <c r="B1303" s="352" t="s">
        <v>653</v>
      </c>
      <c r="C1303" s="187" t="s">
        <v>1496</v>
      </c>
      <c r="D1303" s="506" t="s">
        <v>3897</v>
      </c>
      <c r="E1303" s="190">
        <v>60</v>
      </c>
      <c r="F1303" s="227" t="s">
        <v>45</v>
      </c>
      <c r="G1303" s="233">
        <v>44595</v>
      </c>
      <c r="H1303" s="252">
        <v>56</v>
      </c>
      <c r="I1303" s="188">
        <v>795</v>
      </c>
      <c r="J1303" s="188">
        <v>44520</v>
      </c>
      <c r="K1303" s="232">
        <v>44595</v>
      </c>
      <c r="L1303" s="475"/>
      <c r="M1303" s="508">
        <v>44574</v>
      </c>
      <c r="N1303" s="508"/>
      <c r="O1303" s="508"/>
    </row>
    <row r="1304" spans="1:18" s="351" customFormat="1" ht="13.2" customHeight="1" x14ac:dyDescent="0.3">
      <c r="A1304" s="185" t="s">
        <v>3900</v>
      </c>
      <c r="B1304" s="352" t="s">
        <v>653</v>
      </c>
      <c r="C1304" s="187" t="s">
        <v>1496</v>
      </c>
      <c r="D1304" s="506" t="s">
        <v>3897</v>
      </c>
      <c r="E1304" s="190">
        <v>60</v>
      </c>
      <c r="F1304" s="227" t="s">
        <v>45</v>
      </c>
      <c r="G1304" s="233">
        <v>44595</v>
      </c>
      <c r="H1304" s="252">
        <v>56</v>
      </c>
      <c r="I1304" s="188">
        <v>795</v>
      </c>
      <c r="J1304" s="188">
        <v>44520</v>
      </c>
      <c r="K1304" s="232">
        <v>44595</v>
      </c>
      <c r="L1304" s="475"/>
      <c r="M1304" s="508">
        <v>44574</v>
      </c>
      <c r="N1304" s="508"/>
      <c r="O1304" s="508"/>
    </row>
    <row r="1305" spans="1:18" s="351" customFormat="1" ht="13.2" customHeight="1" x14ac:dyDescent="0.3">
      <c r="A1305" s="185" t="s">
        <v>3901</v>
      </c>
      <c r="B1305" s="352" t="s">
        <v>653</v>
      </c>
      <c r="C1305" s="187" t="s">
        <v>1496</v>
      </c>
      <c r="D1305" s="506" t="s">
        <v>3897</v>
      </c>
      <c r="E1305" s="190">
        <v>60</v>
      </c>
      <c r="F1305" s="227" t="s">
        <v>45</v>
      </c>
      <c r="G1305" s="233">
        <v>44595</v>
      </c>
      <c r="H1305" s="252">
        <v>28</v>
      </c>
      <c r="I1305" s="188">
        <v>795</v>
      </c>
      <c r="J1305" s="188">
        <v>22260</v>
      </c>
      <c r="K1305" s="232">
        <v>44595</v>
      </c>
      <c r="L1305" s="475"/>
      <c r="M1305" s="508">
        <v>44574</v>
      </c>
      <c r="N1305" s="508"/>
      <c r="O1305" s="508"/>
    </row>
    <row r="1306" spans="1:18" s="351" customFormat="1" ht="13.2" customHeight="1" x14ac:dyDescent="0.3">
      <c r="A1306" s="185" t="s">
        <v>3902</v>
      </c>
      <c r="B1306" s="352" t="s">
        <v>653</v>
      </c>
      <c r="C1306" s="187" t="s">
        <v>1496</v>
      </c>
      <c r="D1306" s="506" t="s">
        <v>3898</v>
      </c>
      <c r="E1306" s="190">
        <v>60</v>
      </c>
      <c r="F1306" s="227" t="s">
        <v>45</v>
      </c>
      <c r="G1306" s="233">
        <v>44595</v>
      </c>
      <c r="H1306" s="252">
        <v>112</v>
      </c>
      <c r="I1306" s="188">
        <v>795</v>
      </c>
      <c r="J1306" s="188">
        <v>89040</v>
      </c>
      <c r="K1306" s="232">
        <v>44595</v>
      </c>
      <c r="L1306" s="475"/>
      <c r="M1306" s="508">
        <v>44568</v>
      </c>
      <c r="N1306" s="508"/>
      <c r="O1306" s="508"/>
    </row>
    <row r="1307" spans="1:18" s="351" customFormat="1" ht="13.2" customHeight="1" x14ac:dyDescent="0.3">
      <c r="A1307" s="185" t="s">
        <v>3499</v>
      </c>
      <c r="B1307" s="352" t="s">
        <v>1325</v>
      </c>
      <c r="C1307" s="187" t="s">
        <v>928</v>
      </c>
      <c r="D1307" s="506" t="s">
        <v>3754</v>
      </c>
      <c r="E1307" s="190">
        <v>90</v>
      </c>
      <c r="F1307" s="227" t="s">
        <v>20</v>
      </c>
      <c r="G1307" s="233">
        <v>44596</v>
      </c>
      <c r="H1307" s="252">
        <v>108.8</v>
      </c>
      <c r="I1307" s="188">
        <v>1557</v>
      </c>
      <c r="J1307" s="188">
        <v>169401.60000000001</v>
      </c>
      <c r="K1307" s="232">
        <v>44595</v>
      </c>
      <c r="L1307" s="475"/>
      <c r="M1307" s="508">
        <v>44585</v>
      </c>
      <c r="N1307" s="508"/>
      <c r="O1307" s="508"/>
    </row>
    <row r="1308" spans="1:18" s="351" customFormat="1" ht="13.2" customHeight="1" x14ac:dyDescent="0.3">
      <c r="A1308" s="185" t="s">
        <v>3319</v>
      </c>
      <c r="B1308" s="352" t="s">
        <v>1600</v>
      </c>
      <c r="C1308" s="187" t="s">
        <v>2374</v>
      </c>
      <c r="D1308" s="506" t="s">
        <v>3668</v>
      </c>
      <c r="E1308" s="190">
        <v>120</v>
      </c>
      <c r="F1308" s="227" t="s">
        <v>20</v>
      </c>
      <c r="G1308" s="233">
        <v>44595</v>
      </c>
      <c r="H1308" s="252">
        <v>392.08199999999999</v>
      </c>
      <c r="I1308" s="188">
        <v>700</v>
      </c>
      <c r="J1308" s="188">
        <v>274457.40000000002</v>
      </c>
      <c r="K1308" s="232">
        <v>44595</v>
      </c>
      <c r="L1308" s="475"/>
      <c r="M1308" s="508">
        <v>44585</v>
      </c>
      <c r="N1308" s="508"/>
      <c r="O1308" s="508"/>
      <c r="Q1308" s="351">
        <v>10</v>
      </c>
      <c r="R1308" s="351" t="s">
        <v>26</v>
      </c>
    </row>
    <row r="1309" spans="1:18" s="351" customFormat="1" ht="13.2" customHeight="1" x14ac:dyDescent="0.3">
      <c r="A1309" s="185" t="s">
        <v>3598</v>
      </c>
      <c r="B1309" s="352" t="s">
        <v>2000</v>
      </c>
      <c r="C1309" s="187" t="s">
        <v>2727</v>
      </c>
      <c r="D1309" s="506" t="s">
        <v>4004</v>
      </c>
      <c r="E1309" s="190">
        <v>60</v>
      </c>
      <c r="F1309" s="227" t="s">
        <v>20</v>
      </c>
      <c r="G1309" s="233">
        <v>44594</v>
      </c>
      <c r="H1309" s="252">
        <v>32.5</v>
      </c>
      <c r="I1309" s="188">
        <v>2060</v>
      </c>
      <c r="J1309" s="188">
        <v>66950</v>
      </c>
      <c r="K1309" s="232">
        <v>44595</v>
      </c>
      <c r="L1309" s="475"/>
      <c r="M1309" s="508"/>
      <c r="N1309" s="508"/>
      <c r="O1309" s="508"/>
    </row>
    <row r="1310" spans="1:18" s="351" customFormat="1" ht="13.2" customHeight="1" x14ac:dyDescent="0.3">
      <c r="A1310" s="185" t="s">
        <v>3745</v>
      </c>
      <c r="B1310" s="352" t="s">
        <v>2000</v>
      </c>
      <c r="C1310" s="187" t="s">
        <v>2727</v>
      </c>
      <c r="D1310" s="506" t="s">
        <v>4004</v>
      </c>
      <c r="E1310" s="190">
        <v>60</v>
      </c>
      <c r="F1310" s="227" t="s">
        <v>20</v>
      </c>
      <c r="G1310" s="233">
        <v>44594</v>
      </c>
      <c r="H1310" s="252">
        <v>162.5</v>
      </c>
      <c r="I1310" s="188">
        <v>2950</v>
      </c>
      <c r="J1310" s="188">
        <v>479375</v>
      </c>
      <c r="K1310" s="232">
        <v>44595</v>
      </c>
      <c r="L1310" s="475"/>
      <c r="M1310" s="508"/>
      <c r="N1310" s="508"/>
      <c r="O1310" s="508"/>
    </row>
    <row r="1311" spans="1:18" s="351" customFormat="1" ht="13.2" customHeight="1" x14ac:dyDescent="0.3">
      <c r="A1311" s="185" t="s">
        <v>3869</v>
      </c>
      <c r="B1311" s="352" t="s">
        <v>2000</v>
      </c>
      <c r="C1311" s="187" t="s">
        <v>2727</v>
      </c>
      <c r="D1311" s="506" t="s">
        <v>4004</v>
      </c>
      <c r="E1311" s="190">
        <v>60</v>
      </c>
      <c r="F1311" s="227" t="s">
        <v>20</v>
      </c>
      <c r="G1311" s="233">
        <v>44594</v>
      </c>
      <c r="H1311" s="252">
        <v>162.5</v>
      </c>
      <c r="I1311" s="188">
        <v>2855</v>
      </c>
      <c r="J1311" s="188">
        <v>463937.5</v>
      </c>
      <c r="K1311" s="232">
        <v>44595</v>
      </c>
      <c r="L1311" s="475"/>
      <c r="M1311" s="508"/>
      <c r="N1311" s="508"/>
      <c r="O1311" s="508"/>
    </row>
    <row r="1312" spans="1:18" s="351" customFormat="1" ht="13.2" customHeight="1" x14ac:dyDescent="0.3">
      <c r="A1312" s="185" t="s">
        <v>2915</v>
      </c>
      <c r="B1312" s="352" t="s">
        <v>1600</v>
      </c>
      <c r="C1312" s="187" t="s">
        <v>2374</v>
      </c>
      <c r="D1312" s="506" t="s">
        <v>3665</v>
      </c>
      <c r="E1312" s="190">
        <v>120</v>
      </c>
      <c r="F1312" s="227" t="s">
        <v>20</v>
      </c>
      <c r="G1312" s="233">
        <v>44600</v>
      </c>
      <c r="H1312" s="252">
        <v>308.05399999999997</v>
      </c>
      <c r="I1312" s="188">
        <v>510</v>
      </c>
      <c r="J1312" s="188">
        <v>157107.53999999998</v>
      </c>
      <c r="K1312" s="232">
        <v>44596</v>
      </c>
      <c r="L1312" s="475"/>
      <c r="M1312" s="508">
        <v>44585</v>
      </c>
      <c r="N1312" s="508"/>
      <c r="O1312" s="508"/>
      <c r="Q1312" s="351">
        <v>5</v>
      </c>
      <c r="R1312" s="351" t="s">
        <v>34</v>
      </c>
    </row>
    <row r="1313" spans="1:15" s="351" customFormat="1" ht="13.2" customHeight="1" x14ac:dyDescent="0.3">
      <c r="A1313" s="185" t="s">
        <v>3879</v>
      </c>
      <c r="B1313" s="352" t="s">
        <v>1524</v>
      </c>
      <c r="C1313" s="187" t="s">
        <v>331</v>
      </c>
      <c r="D1313" s="506" t="s">
        <v>4003</v>
      </c>
      <c r="E1313" s="190" t="s">
        <v>5</v>
      </c>
      <c r="F1313" s="227"/>
      <c r="G1313" s="233">
        <v>44600</v>
      </c>
      <c r="H1313" s="252">
        <v>154</v>
      </c>
      <c r="I1313" s="188">
        <v>893.18</v>
      </c>
      <c r="J1313" s="188">
        <f>+I1313*H1313</f>
        <v>137549.72</v>
      </c>
      <c r="K1313" s="232">
        <v>44599</v>
      </c>
      <c r="L1313" s="475"/>
      <c r="M1313" s="508"/>
      <c r="N1313" s="508"/>
      <c r="O1313" s="508"/>
    </row>
    <row r="1314" spans="1:15" s="351" customFormat="1" ht="13.2" customHeight="1" x14ac:dyDescent="0.3">
      <c r="A1314" s="185" t="s">
        <v>3993</v>
      </c>
      <c r="B1314" s="352" t="s">
        <v>1782</v>
      </c>
      <c r="C1314" s="187" t="s">
        <v>331</v>
      </c>
      <c r="D1314" s="506" t="s">
        <v>3994</v>
      </c>
      <c r="E1314" s="190" t="s">
        <v>5</v>
      </c>
      <c r="F1314" s="227"/>
      <c r="G1314" s="233">
        <v>44601</v>
      </c>
      <c r="H1314" s="252">
        <v>88</v>
      </c>
      <c r="I1314" s="188">
        <v>883.13</v>
      </c>
      <c r="J1314" s="188">
        <v>77715.44</v>
      </c>
      <c r="K1314" s="232">
        <v>44602</v>
      </c>
      <c r="L1314" s="475"/>
      <c r="M1314" s="519">
        <v>44600</v>
      </c>
      <c r="N1314" s="519"/>
      <c r="O1314" s="519"/>
    </row>
    <row r="1315" spans="1:15" s="351" customFormat="1" ht="13.2" customHeight="1" x14ac:dyDescent="0.3">
      <c r="A1315" s="185" t="s">
        <v>3568</v>
      </c>
      <c r="B1315" s="352" t="s">
        <v>1599</v>
      </c>
      <c r="C1315" s="187" t="s">
        <v>512</v>
      </c>
      <c r="D1315" s="506" t="s">
        <v>552</v>
      </c>
      <c r="E1315" s="190">
        <v>150</v>
      </c>
      <c r="F1315" s="227" t="s">
        <v>20</v>
      </c>
      <c r="G1315" s="233">
        <v>44602</v>
      </c>
      <c r="H1315" s="252">
        <v>2540</v>
      </c>
      <c r="I1315" s="188">
        <v>700</v>
      </c>
      <c r="J1315" s="188">
        <f>+I1315*H1315</f>
        <v>1778000</v>
      </c>
      <c r="K1315" s="232">
        <v>44602</v>
      </c>
      <c r="L1315" s="475" t="s">
        <v>4002</v>
      </c>
      <c r="M1315" s="519">
        <v>44601</v>
      </c>
      <c r="N1315" s="519"/>
      <c r="O1315" s="519"/>
    </row>
    <row r="1316" spans="1:15" s="351" customFormat="1" ht="13.2" customHeight="1" x14ac:dyDescent="0.3">
      <c r="A1316" s="185" t="s">
        <v>3726</v>
      </c>
      <c r="B1316" s="352" t="s">
        <v>1525</v>
      </c>
      <c r="C1316" s="187" t="s">
        <v>331</v>
      </c>
      <c r="D1316" s="506" t="s">
        <v>552</v>
      </c>
      <c r="E1316" s="190">
        <v>60</v>
      </c>
      <c r="F1316" s="227" t="s">
        <v>2099</v>
      </c>
      <c r="G1316" s="233">
        <v>44606</v>
      </c>
      <c r="H1316" s="252">
        <v>4501</v>
      </c>
      <c r="I1316" s="188">
        <v>820.24</v>
      </c>
      <c r="J1316" s="188">
        <v>861252</v>
      </c>
      <c r="K1316" s="232">
        <v>44606</v>
      </c>
      <c r="L1316" s="475" t="s">
        <v>3736</v>
      </c>
      <c r="M1316" s="519">
        <v>44529</v>
      </c>
      <c r="N1316" s="519"/>
      <c r="O1316" s="519"/>
    </row>
    <row r="1317" spans="1:15" s="351" customFormat="1" ht="13.2" customHeight="1" x14ac:dyDescent="0.3">
      <c r="A1317" s="185" t="s">
        <v>3727</v>
      </c>
      <c r="B1317" s="352" t="s">
        <v>1523</v>
      </c>
      <c r="C1317" s="187" t="s">
        <v>331</v>
      </c>
      <c r="D1317" s="506" t="s">
        <v>552</v>
      </c>
      <c r="E1317" s="190">
        <v>60</v>
      </c>
      <c r="F1317" s="227" t="s">
        <v>2099</v>
      </c>
      <c r="G1317" s="233">
        <v>44606</v>
      </c>
      <c r="H1317" s="252">
        <v>5501</v>
      </c>
      <c r="I1317" s="188">
        <v>822.65</v>
      </c>
      <c r="J1317" s="188">
        <v>823472.65</v>
      </c>
      <c r="K1317" s="232">
        <v>44606</v>
      </c>
      <c r="L1317" s="475" t="s">
        <v>3736</v>
      </c>
      <c r="M1317" s="519">
        <v>44529</v>
      </c>
      <c r="N1317" s="519"/>
      <c r="O1317" s="519"/>
    </row>
    <row r="1318" spans="1:15" s="351" customFormat="1" ht="13.2" customHeight="1" x14ac:dyDescent="0.3">
      <c r="A1318" s="185" t="s">
        <v>3845</v>
      </c>
      <c r="B1318" s="352" t="s">
        <v>3169</v>
      </c>
      <c r="C1318" s="187" t="s">
        <v>331</v>
      </c>
      <c r="D1318" s="506" t="s">
        <v>4044</v>
      </c>
      <c r="E1318" s="190" t="s">
        <v>5</v>
      </c>
      <c r="F1318" s="227"/>
      <c r="G1318" s="233">
        <v>44607</v>
      </c>
      <c r="H1318" s="252">
        <v>242</v>
      </c>
      <c r="I1318" s="188">
        <v>835.86</v>
      </c>
      <c r="J1318" s="188">
        <v>202278.12</v>
      </c>
      <c r="K1318" s="232">
        <v>44607</v>
      </c>
      <c r="L1318" s="475"/>
      <c r="M1318" s="529">
        <v>44603</v>
      </c>
      <c r="N1318" s="529"/>
      <c r="O1318" s="529"/>
    </row>
    <row r="1319" spans="1:15" s="351" customFormat="1" ht="13.2" customHeight="1" x14ac:dyDescent="0.3">
      <c r="A1319" s="185" t="s">
        <v>3880</v>
      </c>
      <c r="B1319" s="352" t="s">
        <v>1524</v>
      </c>
      <c r="C1319" s="187" t="s">
        <v>331</v>
      </c>
      <c r="D1319" s="506" t="s">
        <v>4045</v>
      </c>
      <c r="E1319" s="190" t="s">
        <v>5</v>
      </c>
      <c r="F1319" s="227"/>
      <c r="G1319" s="233">
        <v>44613</v>
      </c>
      <c r="H1319" s="252">
        <v>220</v>
      </c>
      <c r="I1319" s="188">
        <v>907.86</v>
      </c>
      <c r="J1319" s="188">
        <v>199729.2</v>
      </c>
      <c r="K1319" s="232">
        <v>44607</v>
      </c>
      <c r="L1319" s="475"/>
      <c r="M1319" s="529">
        <v>44603</v>
      </c>
      <c r="N1319" s="529"/>
      <c r="O1319" s="529"/>
    </row>
    <row r="1320" spans="1:15" s="351" customFormat="1" ht="13.2" customHeight="1" x14ac:dyDescent="0.3">
      <c r="A1320" s="185" t="s">
        <v>3773</v>
      </c>
      <c r="B1320" s="352" t="s">
        <v>1649</v>
      </c>
      <c r="C1320" s="187" t="s">
        <v>331</v>
      </c>
      <c r="D1320" s="506" t="s">
        <v>3990</v>
      </c>
      <c r="E1320" s="190">
        <v>30</v>
      </c>
      <c r="F1320" s="227" t="s">
        <v>45</v>
      </c>
      <c r="G1320" s="233">
        <v>44608</v>
      </c>
      <c r="H1320" s="252">
        <v>270</v>
      </c>
      <c r="I1320" s="188">
        <v>372.44</v>
      </c>
      <c r="J1320" s="188">
        <v>100558.8</v>
      </c>
      <c r="K1320" s="232">
        <v>44608</v>
      </c>
      <c r="L1320" s="475"/>
      <c r="M1320" s="529">
        <v>44600</v>
      </c>
      <c r="N1320" s="529"/>
      <c r="O1320" s="529"/>
    </row>
  </sheetData>
  <autoFilter ref="A1:O1313"/>
  <mergeCells count="7">
    <mergeCell ref="N486:O486"/>
    <mergeCell ref="A60:B60"/>
    <mergeCell ref="A72:B72"/>
    <mergeCell ref="J209:J211"/>
    <mergeCell ref="K209:K211"/>
    <mergeCell ref="J213:J215"/>
    <mergeCell ref="K213:K215"/>
  </mergeCells>
  <conditionalFormatting sqref="G2 G291:G294 G306 G304 G334 G338:G341 G681:G683 G749:G751 G771 G784 G795:G796 G854 G844:G845 G897:G902 G956:G958 G960 G990 G1001:G1016 G1021:G1024 G1028:G1029 G1101:G1102 G1071:G1074 G1205:G1207">
    <cfRule type="cellIs" dxfId="1633" priority="2159" operator="between">
      <formula>TODAY()</formula>
      <formula>TODAY()+10</formula>
    </cfRule>
  </conditionalFormatting>
  <conditionalFormatting sqref="G3:G4">
    <cfRule type="cellIs" dxfId="1632" priority="2158" operator="between">
      <formula>TODAY()</formula>
      <formula>TODAY()+10</formula>
    </cfRule>
  </conditionalFormatting>
  <conditionalFormatting sqref="G3:G4">
    <cfRule type="cellIs" dxfId="1631" priority="2157" operator="between">
      <formula>TODAY()</formula>
      <formula>TODAY()+10</formula>
    </cfRule>
  </conditionalFormatting>
  <conditionalFormatting sqref="G5">
    <cfRule type="cellIs" dxfId="1630" priority="2156" operator="between">
      <formula>TODAY()</formula>
      <formula>TODAY()+10</formula>
    </cfRule>
  </conditionalFormatting>
  <conditionalFormatting sqref="G5">
    <cfRule type="cellIs" dxfId="1629" priority="2155" operator="between">
      <formula>TODAY()</formula>
      <formula>TODAY()+10</formula>
    </cfRule>
  </conditionalFormatting>
  <conditionalFormatting sqref="G7">
    <cfRule type="cellIs" dxfId="1628" priority="2151" operator="between">
      <formula>TODAY()</formula>
      <formula>TODAY()+10</formula>
    </cfRule>
  </conditionalFormatting>
  <conditionalFormatting sqref="G7">
    <cfRule type="cellIs" dxfId="1627" priority="2152" operator="between">
      <formula>TODAY()</formula>
      <formula>TODAY()+10</formula>
    </cfRule>
  </conditionalFormatting>
  <conditionalFormatting sqref="G6">
    <cfRule type="cellIs" dxfId="1626" priority="2154" operator="between">
      <formula>TODAY()</formula>
      <formula>TODAY()+10</formula>
    </cfRule>
  </conditionalFormatting>
  <conditionalFormatting sqref="G6">
    <cfRule type="cellIs" dxfId="1625" priority="2153" operator="between">
      <formula>TODAY()</formula>
      <formula>TODAY()+10</formula>
    </cfRule>
  </conditionalFormatting>
  <conditionalFormatting sqref="G8">
    <cfRule type="cellIs" dxfId="1624" priority="2150" operator="between">
      <formula>TODAY()</formula>
      <formula>TODAY()+10</formula>
    </cfRule>
  </conditionalFormatting>
  <conditionalFormatting sqref="G8">
    <cfRule type="cellIs" dxfId="1623" priority="2149" operator="between">
      <formula>TODAY()</formula>
      <formula>TODAY()+10</formula>
    </cfRule>
  </conditionalFormatting>
  <conditionalFormatting sqref="G9">
    <cfRule type="cellIs" dxfId="1622" priority="2148" operator="between">
      <formula>TODAY()</formula>
      <formula>TODAY()+10</formula>
    </cfRule>
  </conditionalFormatting>
  <conditionalFormatting sqref="G9">
    <cfRule type="cellIs" dxfId="1621" priority="2147" operator="between">
      <formula>TODAY()</formula>
      <formula>TODAY()+10</formula>
    </cfRule>
  </conditionalFormatting>
  <conditionalFormatting sqref="G10">
    <cfRule type="cellIs" dxfId="1620" priority="2146" operator="between">
      <formula>TODAY()</formula>
      <formula>TODAY()+10</formula>
    </cfRule>
  </conditionalFormatting>
  <conditionalFormatting sqref="G11:G13">
    <cfRule type="cellIs" dxfId="1619" priority="2145" operator="between">
      <formula>TODAY()</formula>
      <formula>TODAY()+10</formula>
    </cfRule>
  </conditionalFormatting>
  <conditionalFormatting sqref="G14">
    <cfRule type="cellIs" dxfId="1618" priority="2142" operator="between">
      <formula>TODAY()</formula>
      <formula>TODAY()+10</formula>
    </cfRule>
  </conditionalFormatting>
  <conditionalFormatting sqref="G15">
    <cfRule type="cellIs" dxfId="1617" priority="2139" operator="between">
      <formula>TODAY()</formula>
      <formula>TODAY()+10</formula>
    </cfRule>
  </conditionalFormatting>
  <conditionalFormatting sqref="G16">
    <cfRule type="cellIs" dxfId="1616" priority="2138" operator="between">
      <formula>TODAY()</formula>
      <formula>TODAY()+10</formula>
    </cfRule>
  </conditionalFormatting>
  <conditionalFormatting sqref="G17">
    <cfRule type="cellIs" dxfId="1615" priority="2137" operator="between">
      <formula>TODAY()</formula>
      <formula>TODAY()+10</formula>
    </cfRule>
  </conditionalFormatting>
  <conditionalFormatting sqref="G18">
    <cfRule type="cellIs" dxfId="1614" priority="2136" operator="between">
      <formula>TODAY()</formula>
      <formula>TODAY()+10</formula>
    </cfRule>
  </conditionalFormatting>
  <conditionalFormatting sqref="G19:G23">
    <cfRule type="cellIs" dxfId="1613" priority="2135" operator="between">
      <formula>TODAY()</formula>
      <formula>TODAY()+10</formula>
    </cfRule>
  </conditionalFormatting>
  <conditionalFormatting sqref="G24:G25">
    <cfRule type="cellIs" dxfId="1612" priority="2131" operator="between">
      <formula>TODAY()</formula>
      <formula>TODAY()+10</formula>
    </cfRule>
  </conditionalFormatting>
  <conditionalFormatting sqref="G26:G27">
    <cfRule type="cellIs" dxfId="1611" priority="2129" operator="between">
      <formula>TODAY()</formula>
      <formula>TODAY()+10</formula>
    </cfRule>
  </conditionalFormatting>
  <conditionalFormatting sqref="G29:G30">
    <cfRule type="cellIs" dxfId="1610" priority="2125" operator="between">
      <formula>TODAY()</formula>
      <formula>TODAY()+10</formula>
    </cfRule>
  </conditionalFormatting>
  <conditionalFormatting sqref="G28">
    <cfRule type="cellIs" dxfId="1609" priority="2127" operator="between">
      <formula>TODAY()</formula>
      <formula>TODAY()+10</formula>
    </cfRule>
  </conditionalFormatting>
  <conditionalFormatting sqref="G31:G36">
    <cfRule type="cellIs" dxfId="1608" priority="2122" operator="between">
      <formula>TODAY()</formula>
      <formula>TODAY()+10</formula>
    </cfRule>
  </conditionalFormatting>
  <conditionalFormatting sqref="G39:G42">
    <cfRule type="cellIs" dxfId="1607" priority="2115" operator="between">
      <formula>TODAY()</formula>
      <formula>TODAY()+10</formula>
    </cfRule>
  </conditionalFormatting>
  <conditionalFormatting sqref="G37:G38">
    <cfRule type="cellIs" dxfId="1606" priority="2119" operator="between">
      <formula>TODAY()</formula>
      <formula>TODAY()+10</formula>
    </cfRule>
  </conditionalFormatting>
  <conditionalFormatting sqref="G43">
    <cfRule type="cellIs" dxfId="1605" priority="2113" operator="between">
      <formula>TODAY()</formula>
      <formula>TODAY()+10</formula>
    </cfRule>
  </conditionalFormatting>
  <conditionalFormatting sqref="G44:G50">
    <cfRule type="cellIs" dxfId="1604" priority="2105" operator="between">
      <formula>TODAY()</formula>
      <formula>TODAY()+10</formula>
    </cfRule>
  </conditionalFormatting>
  <conditionalFormatting sqref="G51:G57">
    <cfRule type="cellIs" dxfId="1603" priority="2099" operator="between">
      <formula>TODAY()</formula>
      <formula>TODAY()+10</formula>
    </cfRule>
  </conditionalFormatting>
  <conditionalFormatting sqref="G58">
    <cfRule type="cellIs" dxfId="1602" priority="2097" operator="between">
      <formula>TODAY()</formula>
      <formula>TODAY()+10</formula>
    </cfRule>
  </conditionalFormatting>
  <conditionalFormatting sqref="G59">
    <cfRule type="cellIs" dxfId="1601" priority="2095" operator="between">
      <formula>TODAY()</formula>
      <formula>TODAY()+10</formula>
    </cfRule>
  </conditionalFormatting>
  <conditionalFormatting sqref="G60">
    <cfRule type="cellIs" dxfId="1600" priority="2093" operator="between">
      <formula>TODAY()</formula>
      <formula>TODAY()+10</formula>
    </cfRule>
  </conditionalFormatting>
  <conditionalFormatting sqref="G61:G64">
    <cfRule type="cellIs" dxfId="1599" priority="2091" operator="between">
      <formula>TODAY()</formula>
      <formula>TODAY()+10</formula>
    </cfRule>
  </conditionalFormatting>
  <conditionalFormatting sqref="G65:G66">
    <cfRule type="cellIs" dxfId="1598" priority="2086" operator="between">
      <formula>TODAY()</formula>
      <formula>TODAY()+10</formula>
    </cfRule>
  </conditionalFormatting>
  <conditionalFormatting sqref="G67">
    <cfRule type="cellIs" dxfId="1597" priority="2084" operator="between">
      <formula>TODAY()</formula>
      <formula>TODAY()+10</formula>
    </cfRule>
  </conditionalFormatting>
  <conditionalFormatting sqref="G68">
    <cfRule type="cellIs" dxfId="1596" priority="2079" operator="between">
      <formula>TODAY()</formula>
      <formula>TODAY()+10</formula>
    </cfRule>
  </conditionalFormatting>
  <conditionalFormatting sqref="G70:G72">
    <cfRule type="cellIs" dxfId="1595" priority="2074" operator="between">
      <formula>TODAY()</formula>
      <formula>TODAY()+10</formula>
    </cfRule>
  </conditionalFormatting>
  <conditionalFormatting sqref="G73">
    <cfRule type="cellIs" dxfId="1594" priority="2069" operator="between">
      <formula>TODAY()</formula>
      <formula>TODAY()+10</formula>
    </cfRule>
  </conditionalFormatting>
  <conditionalFormatting sqref="G69">
    <cfRule type="cellIs" dxfId="1593" priority="2067" operator="between">
      <formula>TODAY()</formula>
      <formula>TODAY()+10</formula>
    </cfRule>
  </conditionalFormatting>
  <conditionalFormatting sqref="G74:G75">
    <cfRule type="cellIs" dxfId="1592" priority="2062" operator="between">
      <formula>TODAY()</formula>
      <formula>TODAY()+10</formula>
    </cfRule>
  </conditionalFormatting>
  <conditionalFormatting sqref="G76:G78">
    <cfRule type="cellIs" dxfId="1591" priority="2060" operator="between">
      <formula>TODAY()</formula>
      <formula>TODAY()+10</formula>
    </cfRule>
  </conditionalFormatting>
  <conditionalFormatting sqref="G79 G81:G82">
    <cfRule type="cellIs" dxfId="1590" priority="2056" operator="between">
      <formula>TODAY()</formula>
      <formula>TODAY()+10</formula>
    </cfRule>
  </conditionalFormatting>
  <conditionalFormatting sqref="G80">
    <cfRule type="cellIs" dxfId="1589" priority="2053" operator="between">
      <formula>TODAY()</formula>
      <formula>TODAY()+10</formula>
    </cfRule>
  </conditionalFormatting>
  <conditionalFormatting sqref="G83">
    <cfRule type="cellIs" dxfId="1588" priority="2044" operator="between">
      <formula>TODAY()</formula>
      <formula>TODAY()+10</formula>
    </cfRule>
  </conditionalFormatting>
  <conditionalFormatting sqref="G85:G88">
    <cfRule type="cellIs" dxfId="1587" priority="2035" operator="between">
      <formula>TODAY()</formula>
      <formula>TODAY()+10</formula>
    </cfRule>
  </conditionalFormatting>
  <conditionalFormatting sqref="G89:G90">
    <cfRule type="cellIs" dxfId="1586" priority="2042" operator="between">
      <formula>TODAY()</formula>
      <formula>TODAY()+10</formula>
    </cfRule>
  </conditionalFormatting>
  <conditionalFormatting sqref="G91">
    <cfRule type="cellIs" dxfId="1585" priority="2040" operator="between">
      <formula>TODAY()</formula>
      <formula>TODAY()+10</formula>
    </cfRule>
  </conditionalFormatting>
  <conditionalFormatting sqref="G84">
    <cfRule type="cellIs" dxfId="1584" priority="2038" operator="between">
      <formula>TODAY()</formula>
      <formula>TODAY()+10</formula>
    </cfRule>
  </conditionalFormatting>
  <conditionalFormatting sqref="G92">
    <cfRule type="cellIs" dxfId="1583" priority="2032" operator="between">
      <formula>TODAY()</formula>
      <formula>TODAY()+10</formula>
    </cfRule>
  </conditionalFormatting>
  <conditionalFormatting sqref="G93">
    <cfRule type="cellIs" dxfId="1582" priority="2029" operator="between">
      <formula>TODAY()</formula>
      <formula>TODAY()+10</formula>
    </cfRule>
  </conditionalFormatting>
  <conditionalFormatting sqref="G94">
    <cfRule type="cellIs" dxfId="1581" priority="2027" operator="between">
      <formula>TODAY()</formula>
      <formula>TODAY()+10</formula>
    </cfRule>
  </conditionalFormatting>
  <conditionalFormatting sqref="G95:G96">
    <cfRule type="cellIs" dxfId="1580" priority="2024" operator="between">
      <formula>TODAY()</formula>
      <formula>TODAY()+10</formula>
    </cfRule>
  </conditionalFormatting>
  <conditionalFormatting sqref="G97">
    <cfRule type="cellIs" dxfId="1579" priority="2023" operator="between">
      <formula>TODAY()</formula>
      <formula>TODAY()+10</formula>
    </cfRule>
  </conditionalFormatting>
  <conditionalFormatting sqref="G98">
    <cfRule type="cellIs" dxfId="1578" priority="2022" operator="between">
      <formula>TODAY()</formula>
      <formula>TODAY()+10</formula>
    </cfRule>
  </conditionalFormatting>
  <conditionalFormatting sqref="G99:G100">
    <cfRule type="cellIs" dxfId="1577" priority="2017" operator="between">
      <formula>TODAY()</formula>
      <formula>TODAY()+10</formula>
    </cfRule>
  </conditionalFormatting>
  <conditionalFormatting sqref="G101:G105">
    <cfRule type="cellIs" dxfId="1576" priority="2012" operator="between">
      <formula>TODAY()</formula>
      <formula>TODAY()+10</formula>
    </cfRule>
  </conditionalFormatting>
  <conditionalFormatting sqref="G106:G107">
    <cfRule type="cellIs" dxfId="1575" priority="2004" operator="between">
      <formula>TODAY()</formula>
      <formula>TODAY()+10</formula>
    </cfRule>
  </conditionalFormatting>
  <conditionalFormatting sqref="G108:G109">
    <cfRule type="cellIs" dxfId="1574" priority="2001" operator="between">
      <formula>TODAY()</formula>
      <formula>TODAY()+10</formula>
    </cfRule>
  </conditionalFormatting>
  <conditionalFormatting sqref="G110:G111">
    <cfRule type="cellIs" dxfId="1573" priority="1996" operator="between">
      <formula>TODAY()</formula>
      <formula>TODAY()+10</formula>
    </cfRule>
  </conditionalFormatting>
  <conditionalFormatting sqref="G114:G116">
    <cfRule type="cellIs" dxfId="1572" priority="1991" operator="between">
      <formula>TODAY()</formula>
      <formula>TODAY()+10</formula>
    </cfRule>
  </conditionalFormatting>
  <conditionalFormatting sqref="G112:G113">
    <cfRule type="cellIs" dxfId="1571" priority="1993" operator="between">
      <formula>TODAY()</formula>
      <formula>TODAY()+10</formula>
    </cfRule>
  </conditionalFormatting>
  <conditionalFormatting sqref="G117">
    <cfRule type="cellIs" dxfId="1570" priority="1986" operator="between">
      <formula>TODAY()</formula>
      <formula>TODAY()+10</formula>
    </cfRule>
  </conditionalFormatting>
  <conditionalFormatting sqref="G118:G119">
    <cfRule type="cellIs" dxfId="1569" priority="1981" operator="between">
      <formula>TODAY()</formula>
      <formula>TODAY()+10</formula>
    </cfRule>
  </conditionalFormatting>
  <conditionalFormatting sqref="G120:G121">
    <cfRule type="cellIs" dxfId="1568" priority="1978" operator="between">
      <formula>TODAY()</formula>
      <formula>TODAY()+10</formula>
    </cfRule>
  </conditionalFormatting>
  <conditionalFormatting sqref="G122">
    <cfRule type="cellIs" dxfId="1567" priority="1973" operator="between">
      <formula>TODAY()</formula>
      <formula>TODAY()+10</formula>
    </cfRule>
  </conditionalFormatting>
  <conditionalFormatting sqref="G123">
    <cfRule type="cellIs" dxfId="1566" priority="1971" operator="between">
      <formula>TODAY()</formula>
      <formula>TODAY()+10</formula>
    </cfRule>
  </conditionalFormatting>
  <conditionalFormatting sqref="G124">
    <cfRule type="cellIs" dxfId="1565" priority="1969" operator="between">
      <formula>TODAY()</formula>
      <formula>TODAY()+10</formula>
    </cfRule>
  </conditionalFormatting>
  <conditionalFormatting sqref="G127:G129">
    <cfRule type="cellIs" dxfId="1564" priority="1961" operator="between">
      <formula>TODAY()</formula>
      <formula>TODAY()+10</formula>
    </cfRule>
  </conditionalFormatting>
  <conditionalFormatting sqref="G125:G126">
    <cfRule type="cellIs" dxfId="1563" priority="1966" operator="between">
      <formula>TODAY()</formula>
      <formula>TODAY()+10</formula>
    </cfRule>
  </conditionalFormatting>
  <conditionalFormatting sqref="G130">
    <cfRule type="cellIs" dxfId="1562" priority="1960" operator="between">
      <formula>TODAY()</formula>
      <formula>TODAY()+10</formula>
    </cfRule>
  </conditionalFormatting>
  <conditionalFormatting sqref="G131:G135">
    <cfRule type="cellIs" dxfId="1561" priority="1956" operator="between">
      <formula>TODAY()</formula>
      <formula>TODAY()+10</formula>
    </cfRule>
  </conditionalFormatting>
  <conditionalFormatting sqref="G136:G137">
    <cfRule type="cellIs" dxfId="1560" priority="1954" operator="between">
      <formula>TODAY()</formula>
      <formula>TODAY()+10</formula>
    </cfRule>
  </conditionalFormatting>
  <conditionalFormatting sqref="G138">
    <cfRule type="cellIs" dxfId="1559" priority="1953" operator="between">
      <formula>TODAY()</formula>
      <formula>TODAY()+10</formula>
    </cfRule>
  </conditionalFormatting>
  <conditionalFormatting sqref="G139:G140">
    <cfRule type="cellIs" dxfId="1558" priority="1952" operator="between">
      <formula>TODAY()</formula>
      <formula>TODAY()+10</formula>
    </cfRule>
  </conditionalFormatting>
  <conditionalFormatting sqref="G141">
    <cfRule type="cellIs" dxfId="1557" priority="1947" operator="between">
      <formula>TODAY()</formula>
      <formula>TODAY()+10</formula>
    </cfRule>
  </conditionalFormatting>
  <conditionalFormatting sqref="G142">
    <cfRule type="cellIs" dxfId="1556" priority="1942" operator="between">
      <formula>TODAY()</formula>
      <formula>TODAY()+10</formula>
    </cfRule>
  </conditionalFormatting>
  <conditionalFormatting sqref="G143:G144">
    <cfRule type="cellIs" dxfId="1555" priority="1933" operator="between">
      <formula>TODAY()</formula>
      <formula>TODAY()+10</formula>
    </cfRule>
  </conditionalFormatting>
  <conditionalFormatting sqref="G145:G147">
    <cfRule type="cellIs" dxfId="1554" priority="1931" operator="between">
      <formula>TODAY()</formula>
      <formula>TODAY()+10</formula>
    </cfRule>
  </conditionalFormatting>
  <conditionalFormatting sqref="G148:G149">
    <cfRule type="cellIs" dxfId="1553" priority="1929" operator="between">
      <formula>TODAY()</formula>
      <formula>TODAY()+10</formula>
    </cfRule>
  </conditionalFormatting>
  <conditionalFormatting sqref="G150">
    <cfRule type="cellIs" dxfId="1552" priority="1922" operator="between">
      <formula>TODAY()</formula>
      <formula>TODAY()+10</formula>
    </cfRule>
  </conditionalFormatting>
  <conditionalFormatting sqref="G151">
    <cfRule type="cellIs" dxfId="1551" priority="1921" operator="between">
      <formula>TODAY()</formula>
      <formula>TODAY()+10</formula>
    </cfRule>
  </conditionalFormatting>
  <conditionalFormatting sqref="G152">
    <cfRule type="cellIs" dxfId="1550" priority="1916" operator="between">
      <formula>TODAY()</formula>
      <formula>TODAY()+10</formula>
    </cfRule>
  </conditionalFormatting>
  <conditionalFormatting sqref="G155">
    <cfRule type="cellIs" dxfId="1549" priority="1914" operator="between">
      <formula>TODAY()</formula>
      <formula>TODAY()+10</formula>
    </cfRule>
  </conditionalFormatting>
  <conditionalFormatting sqref="G153:G154">
    <cfRule type="cellIs" dxfId="1548" priority="1909" operator="between">
      <formula>TODAY()</formula>
      <formula>TODAY()+10</formula>
    </cfRule>
  </conditionalFormatting>
  <conditionalFormatting sqref="G156">
    <cfRule type="cellIs" dxfId="1547" priority="1904" operator="between">
      <formula>TODAY()</formula>
      <formula>TODAY()+10</formula>
    </cfRule>
  </conditionalFormatting>
  <conditionalFormatting sqref="G157">
    <cfRule type="cellIs" dxfId="1546" priority="1902" operator="between">
      <formula>TODAY()</formula>
      <formula>TODAY()+10</formula>
    </cfRule>
  </conditionalFormatting>
  <conditionalFormatting sqref="G159:G160">
    <cfRule type="cellIs" dxfId="1545" priority="1898" operator="between">
      <formula>TODAY()</formula>
      <formula>TODAY()+10</formula>
    </cfRule>
  </conditionalFormatting>
  <conditionalFormatting sqref="G158">
    <cfRule type="cellIs" dxfId="1544" priority="1899" operator="between">
      <formula>TODAY()</formula>
      <formula>TODAY()+10</formula>
    </cfRule>
  </conditionalFormatting>
  <conditionalFormatting sqref="G161:G162">
    <cfRule type="cellIs" dxfId="1543" priority="1890" operator="between">
      <formula>TODAY()</formula>
      <formula>TODAY()+10</formula>
    </cfRule>
  </conditionalFormatting>
  <conditionalFormatting sqref="G165:G167">
    <cfRule type="cellIs" dxfId="1542" priority="1878" operator="between">
      <formula>TODAY()</formula>
      <formula>TODAY()+10</formula>
    </cfRule>
  </conditionalFormatting>
  <conditionalFormatting sqref="G163:G164">
    <cfRule type="cellIs" dxfId="1541" priority="1876" operator="between">
      <formula>TODAY()</formula>
      <formula>TODAY()+10</formula>
    </cfRule>
  </conditionalFormatting>
  <conditionalFormatting sqref="G168:G170">
    <cfRule type="cellIs" dxfId="1540" priority="1866" operator="between">
      <formula>TODAY()</formula>
      <formula>TODAY()+10</formula>
    </cfRule>
  </conditionalFormatting>
  <conditionalFormatting sqref="G171:G172">
    <cfRule type="cellIs" dxfId="1539" priority="1864" operator="between">
      <formula>TODAY()</formula>
      <formula>TODAY()+10</formula>
    </cfRule>
  </conditionalFormatting>
  <conditionalFormatting sqref="G173:G174">
    <cfRule type="cellIs" dxfId="1538" priority="1858" operator="between">
      <formula>TODAY()</formula>
      <formula>TODAY()+10</formula>
    </cfRule>
  </conditionalFormatting>
  <conditionalFormatting sqref="G178">
    <cfRule type="cellIs" dxfId="1537" priority="1853" operator="between">
      <formula>TODAY()</formula>
      <formula>TODAY()+10</formula>
    </cfRule>
  </conditionalFormatting>
  <conditionalFormatting sqref="G175:G176">
    <cfRule type="cellIs" dxfId="1536" priority="1848" operator="between">
      <formula>TODAY()</formula>
      <formula>TODAY()+10</formula>
    </cfRule>
  </conditionalFormatting>
  <conditionalFormatting sqref="G177">
    <cfRule type="cellIs" dxfId="1535" priority="1843" operator="between">
      <formula>TODAY()</formula>
      <formula>TODAY()+10</formula>
    </cfRule>
  </conditionalFormatting>
  <conditionalFormatting sqref="G179">
    <cfRule type="cellIs" dxfId="1534" priority="1838" operator="between">
      <formula>TODAY()</formula>
      <formula>TODAY()+10</formula>
    </cfRule>
  </conditionalFormatting>
  <conditionalFormatting sqref="G180:G181">
    <cfRule type="cellIs" dxfId="1533" priority="1836" operator="between">
      <formula>TODAY()</formula>
      <formula>TODAY()+10</formula>
    </cfRule>
  </conditionalFormatting>
  <conditionalFormatting sqref="G182">
    <cfRule type="cellIs" dxfId="1532" priority="1834" operator="between">
      <formula>TODAY()</formula>
      <formula>TODAY()+10</formula>
    </cfRule>
  </conditionalFormatting>
  <conditionalFormatting sqref="G183">
    <cfRule type="cellIs" dxfId="1531" priority="1832" operator="between">
      <formula>TODAY()</formula>
      <formula>TODAY()+10</formula>
    </cfRule>
  </conditionalFormatting>
  <conditionalFormatting sqref="G184:G189">
    <cfRule type="cellIs" dxfId="1530" priority="1818" operator="between">
      <formula>TODAY()</formula>
      <formula>TODAY()+10</formula>
    </cfRule>
  </conditionalFormatting>
  <conditionalFormatting sqref="G191:G192">
    <cfRule type="cellIs" dxfId="1529" priority="1812" operator="between">
      <formula>TODAY()</formula>
      <formula>TODAY()+10</formula>
    </cfRule>
  </conditionalFormatting>
  <conditionalFormatting sqref="G193">
    <cfRule type="cellIs" dxfId="1528" priority="1807" operator="between">
      <formula>TODAY()</formula>
      <formula>TODAY()+10</formula>
    </cfRule>
  </conditionalFormatting>
  <conditionalFormatting sqref="G190">
    <cfRule type="cellIs" dxfId="1527" priority="1806" operator="between">
      <formula>TODAY()</formula>
      <formula>TODAY()+10</formula>
    </cfRule>
  </conditionalFormatting>
  <conditionalFormatting sqref="G194">
    <cfRule type="cellIs" dxfId="1526" priority="1801" operator="between">
      <formula>TODAY()</formula>
      <formula>TODAY()+10</formula>
    </cfRule>
  </conditionalFormatting>
  <conditionalFormatting sqref="G195:G196">
    <cfRule type="cellIs" dxfId="1525" priority="1792" operator="between">
      <formula>TODAY()</formula>
      <formula>TODAY()+10</formula>
    </cfRule>
  </conditionalFormatting>
  <conditionalFormatting sqref="G197">
    <cfRule type="cellIs" dxfId="1524" priority="1787" operator="between">
      <formula>TODAY()</formula>
      <formula>TODAY()+10</formula>
    </cfRule>
  </conditionalFormatting>
  <conditionalFormatting sqref="G198:G200">
    <cfRule type="cellIs" dxfId="1523" priority="1782" operator="between">
      <formula>TODAY()</formula>
      <formula>TODAY()+10</formula>
    </cfRule>
  </conditionalFormatting>
  <conditionalFormatting sqref="G201:G202">
    <cfRule type="cellIs" dxfId="1522" priority="1776" operator="between">
      <formula>TODAY()</formula>
      <formula>TODAY()+10</formula>
    </cfRule>
  </conditionalFormatting>
  <conditionalFormatting sqref="G203">
    <cfRule type="cellIs" dxfId="1521" priority="1771" operator="between">
      <formula>TODAY()</formula>
      <formula>TODAY()+10</formula>
    </cfRule>
  </conditionalFormatting>
  <conditionalFormatting sqref="G204">
    <cfRule type="cellIs" dxfId="1520" priority="1766" operator="between">
      <formula>TODAY()</formula>
      <formula>TODAY()+10</formula>
    </cfRule>
  </conditionalFormatting>
  <conditionalFormatting sqref="G205:G208">
    <cfRule type="cellIs" dxfId="1519" priority="1760" operator="between">
      <formula>TODAY()</formula>
      <formula>TODAY()+10</formula>
    </cfRule>
  </conditionalFormatting>
  <conditionalFormatting sqref="K209">
    <cfRule type="timePeriod" dxfId="1518" priority="1758" timePeriod="nextWeek">
      <formula>AND(ROUNDDOWN(K209,0)-TODAY()&gt;(7-WEEKDAY(TODAY())),ROUNDDOWN(K209,0)-TODAY()&lt;(15-WEEKDAY(TODAY())))</formula>
    </cfRule>
    <cfRule type="timePeriod" dxfId="1517" priority="1759" timePeriod="thisWeek">
      <formula>AND(TODAY()-ROUNDDOWN(K209,0)&lt;=WEEKDAY(TODAY())-1,ROUNDDOWN(K209,0)-TODAY()&lt;=7-WEEKDAY(TODAY()))</formula>
    </cfRule>
  </conditionalFormatting>
  <conditionalFormatting sqref="G1103">
    <cfRule type="cellIs" dxfId="1516" priority="124" operator="between">
      <formula>TODAY()</formula>
      <formula>TODAY()+10</formula>
    </cfRule>
  </conditionalFormatting>
  <conditionalFormatting sqref="G1104">
    <cfRule type="cellIs" dxfId="1515" priority="123" operator="between">
      <formula>TODAY()</formula>
      <formula>TODAY()+10</formula>
    </cfRule>
  </conditionalFormatting>
  <conditionalFormatting sqref="G1105">
    <cfRule type="cellIs" dxfId="1514" priority="122" operator="between">
      <formula>TODAY()</formula>
      <formula>TODAY()+10</formula>
    </cfRule>
  </conditionalFormatting>
  <conditionalFormatting sqref="G1106:G1109">
    <cfRule type="cellIs" dxfId="1513" priority="121" operator="between">
      <formula>TODAY()</formula>
      <formula>TODAY()+10</formula>
    </cfRule>
  </conditionalFormatting>
  <conditionalFormatting sqref="G1110:G1112">
    <cfRule type="cellIs" dxfId="1512" priority="119" operator="between">
      <formula>TODAY()</formula>
      <formula>TODAY()+10</formula>
    </cfRule>
  </conditionalFormatting>
  <conditionalFormatting sqref="G1113">
    <cfRule type="cellIs" dxfId="1511" priority="118" operator="between">
      <formula>TODAY()</formula>
      <formula>TODAY()+10</formula>
    </cfRule>
  </conditionalFormatting>
  <conditionalFormatting sqref="G1095:G1096">
    <cfRule type="cellIs" dxfId="1510" priority="117" operator="between">
      <formula>TODAY()</formula>
      <formula>TODAY()+10</formula>
    </cfRule>
  </conditionalFormatting>
  <conditionalFormatting sqref="G1114">
    <cfRule type="cellIs" dxfId="1509" priority="116" operator="between">
      <formula>TODAY()</formula>
      <formula>TODAY()+10</formula>
    </cfRule>
  </conditionalFormatting>
  <conditionalFormatting sqref="G1115:G1118">
    <cfRule type="cellIs" dxfId="1508" priority="115" operator="between">
      <formula>TODAY()</formula>
      <formula>TODAY()+10</formula>
    </cfRule>
  </conditionalFormatting>
  <conditionalFormatting sqref="G1119:G1120">
    <cfRule type="cellIs" dxfId="1507" priority="114" operator="between">
      <formula>TODAY()</formula>
      <formula>TODAY()+10</formula>
    </cfRule>
  </conditionalFormatting>
  <conditionalFormatting sqref="G1122:G1123">
    <cfRule type="cellIs" dxfId="1506" priority="113" operator="between">
      <formula>TODAY()</formula>
      <formula>TODAY()+10</formula>
    </cfRule>
  </conditionalFormatting>
  <conditionalFormatting sqref="G1124">
    <cfRule type="cellIs" dxfId="1505" priority="112" operator="between">
      <formula>TODAY()</formula>
      <formula>TODAY()+10</formula>
    </cfRule>
  </conditionalFormatting>
  <conditionalFormatting sqref="G1125:G1126">
    <cfRule type="cellIs" dxfId="1504" priority="111" operator="between">
      <formula>TODAY()</formula>
      <formula>TODAY()+10</formula>
    </cfRule>
  </conditionalFormatting>
  <conditionalFormatting sqref="G1127:G1128">
    <cfRule type="cellIs" dxfId="1503" priority="110" operator="between">
      <formula>TODAY()</formula>
      <formula>TODAY()+10</formula>
    </cfRule>
  </conditionalFormatting>
  <conditionalFormatting sqref="G1129">
    <cfRule type="cellIs" dxfId="1502" priority="108" operator="between">
      <formula>TODAY()</formula>
      <formula>TODAY()+10</formula>
    </cfRule>
  </conditionalFormatting>
  <conditionalFormatting sqref="G1130:G1131">
    <cfRule type="cellIs" dxfId="1501" priority="107" operator="between">
      <formula>TODAY()</formula>
      <formula>TODAY()+10</formula>
    </cfRule>
  </conditionalFormatting>
  <conditionalFormatting sqref="G1132">
    <cfRule type="cellIs" dxfId="1500" priority="106" operator="between">
      <formula>TODAY()</formula>
      <formula>TODAY()+10</formula>
    </cfRule>
  </conditionalFormatting>
  <conditionalFormatting sqref="G1133:G1134">
    <cfRule type="cellIs" dxfId="1499" priority="105" operator="between">
      <formula>TODAY()</formula>
      <formula>TODAY()+10</formula>
    </cfRule>
  </conditionalFormatting>
  <conditionalFormatting sqref="G1135">
    <cfRule type="cellIs" dxfId="1498" priority="104" operator="between">
      <formula>TODAY()</formula>
      <formula>TODAY()+10</formula>
    </cfRule>
  </conditionalFormatting>
  <conditionalFormatting sqref="G1121">
    <cfRule type="cellIs" dxfId="1497" priority="103" operator="between">
      <formula>TODAY()</formula>
      <formula>TODAY()+10</formula>
    </cfRule>
  </conditionalFormatting>
  <conditionalFormatting sqref="G1136:G1138">
    <cfRule type="cellIs" dxfId="1496" priority="102" operator="between">
      <formula>TODAY()</formula>
      <formula>TODAY()+10</formula>
    </cfRule>
  </conditionalFormatting>
  <conditionalFormatting sqref="G1139">
    <cfRule type="cellIs" dxfId="1495" priority="101" operator="between">
      <formula>TODAY()</formula>
      <formula>TODAY()+10</formula>
    </cfRule>
  </conditionalFormatting>
  <conditionalFormatting sqref="G1140">
    <cfRule type="cellIs" dxfId="1494" priority="100" operator="between">
      <formula>TODAY()</formula>
      <formula>TODAY()+10</formula>
    </cfRule>
  </conditionalFormatting>
  <conditionalFormatting sqref="G1141:G1142">
    <cfRule type="cellIs" dxfId="1493" priority="99" operator="between">
      <formula>TODAY()</formula>
      <formula>TODAY()+10</formula>
    </cfRule>
  </conditionalFormatting>
  <conditionalFormatting sqref="G1143">
    <cfRule type="cellIs" dxfId="1492" priority="98" operator="between">
      <formula>TODAY()</formula>
      <formula>TODAY()+10</formula>
    </cfRule>
  </conditionalFormatting>
  <conditionalFormatting sqref="G1144">
    <cfRule type="cellIs" dxfId="1491" priority="97" operator="between">
      <formula>TODAY()</formula>
      <formula>TODAY()+10</formula>
    </cfRule>
  </conditionalFormatting>
  <conditionalFormatting sqref="G1145:G1146">
    <cfRule type="cellIs" dxfId="1490" priority="96" operator="between">
      <formula>TODAY()</formula>
      <formula>TODAY()+10</formula>
    </cfRule>
  </conditionalFormatting>
  <conditionalFormatting sqref="G1147">
    <cfRule type="cellIs" dxfId="1489" priority="95" operator="between">
      <formula>TODAY()</formula>
      <formula>TODAY()+10</formula>
    </cfRule>
  </conditionalFormatting>
  <conditionalFormatting sqref="G1148:G1150">
    <cfRule type="cellIs" dxfId="1488" priority="94" operator="between">
      <formula>TODAY()</formula>
      <formula>TODAY()+10</formula>
    </cfRule>
  </conditionalFormatting>
  <conditionalFormatting sqref="G1151">
    <cfRule type="cellIs" dxfId="1487" priority="93" operator="between">
      <formula>TODAY()</formula>
      <formula>TODAY()+10</formula>
    </cfRule>
  </conditionalFormatting>
  <conditionalFormatting sqref="G1153">
    <cfRule type="cellIs" dxfId="1486" priority="92" operator="between">
      <formula>TODAY()</formula>
      <formula>TODAY()+10</formula>
    </cfRule>
  </conditionalFormatting>
  <conditionalFormatting sqref="G1154:G1156">
    <cfRule type="cellIs" dxfId="1485" priority="91" operator="between">
      <formula>TODAY()</formula>
      <formula>TODAY()+10</formula>
    </cfRule>
  </conditionalFormatting>
  <conditionalFormatting sqref="G1152">
    <cfRule type="cellIs" dxfId="1484" priority="90" operator="between">
      <formula>TODAY()</formula>
      <formula>TODAY()+10</formula>
    </cfRule>
  </conditionalFormatting>
  <conditionalFormatting sqref="G1157:G1158">
    <cfRule type="cellIs" dxfId="1483" priority="89" operator="between">
      <formula>TODAY()</formula>
      <formula>TODAY()+10</formula>
    </cfRule>
  </conditionalFormatting>
  <conditionalFormatting sqref="G1159:G1161">
    <cfRule type="cellIs" dxfId="1482" priority="88" operator="between">
      <formula>TODAY()</formula>
      <formula>TODAY()+10</formula>
    </cfRule>
  </conditionalFormatting>
  <conditionalFormatting sqref="G1162:G1163">
    <cfRule type="cellIs" dxfId="1481" priority="87" operator="between">
      <formula>TODAY()</formula>
      <formula>TODAY()+10</formula>
    </cfRule>
  </conditionalFormatting>
  <conditionalFormatting sqref="G1164:G1165">
    <cfRule type="cellIs" dxfId="1480" priority="86" operator="between">
      <formula>TODAY()</formula>
      <formula>TODAY()+10</formula>
    </cfRule>
  </conditionalFormatting>
  <conditionalFormatting sqref="G1166">
    <cfRule type="cellIs" dxfId="1479" priority="85" operator="between">
      <formula>TODAY()</formula>
      <formula>TODAY()+10</formula>
    </cfRule>
  </conditionalFormatting>
  <conditionalFormatting sqref="G1167">
    <cfRule type="cellIs" dxfId="1478" priority="84" operator="between">
      <formula>TODAY()</formula>
      <formula>TODAY()+10</formula>
    </cfRule>
  </conditionalFormatting>
  <conditionalFormatting sqref="G1168:G1169">
    <cfRule type="cellIs" dxfId="1477" priority="83" operator="between">
      <formula>TODAY()</formula>
      <formula>TODAY()+10</formula>
    </cfRule>
  </conditionalFormatting>
  <conditionalFormatting sqref="G1170">
    <cfRule type="cellIs" dxfId="1476" priority="82" operator="between">
      <formula>TODAY()</formula>
      <formula>TODAY()+10</formula>
    </cfRule>
  </conditionalFormatting>
  <conditionalFormatting sqref="G1171">
    <cfRule type="cellIs" dxfId="1475" priority="81" operator="between">
      <formula>TODAY()</formula>
      <formula>TODAY()+10</formula>
    </cfRule>
  </conditionalFormatting>
  <conditionalFormatting sqref="G1172">
    <cfRule type="cellIs" dxfId="1474" priority="80" operator="between">
      <formula>TODAY()</formula>
      <formula>TODAY()+10</formula>
    </cfRule>
  </conditionalFormatting>
  <conditionalFormatting sqref="G1173:G1177">
    <cfRule type="cellIs" dxfId="1473" priority="79" operator="between">
      <formula>TODAY()</formula>
      <formula>TODAY()+10</formula>
    </cfRule>
  </conditionalFormatting>
  <conditionalFormatting sqref="G1178">
    <cfRule type="cellIs" dxfId="1472" priority="78" operator="between">
      <formula>TODAY()</formula>
      <formula>TODAY()+10</formula>
    </cfRule>
  </conditionalFormatting>
  <conditionalFormatting sqref="G1179:G1181">
    <cfRule type="cellIs" dxfId="1471" priority="77" operator="between">
      <formula>TODAY()</formula>
      <formula>TODAY()+10</formula>
    </cfRule>
  </conditionalFormatting>
  <conditionalFormatting sqref="G1182:G1184">
    <cfRule type="cellIs" dxfId="1470" priority="76" operator="between">
      <formula>TODAY()</formula>
      <formula>TODAY()+10</formula>
    </cfRule>
  </conditionalFormatting>
  <conditionalFormatting sqref="G1185">
    <cfRule type="cellIs" dxfId="1469" priority="75" operator="between">
      <formula>TODAY()</formula>
      <formula>TODAY()+10</formula>
    </cfRule>
  </conditionalFormatting>
  <conditionalFormatting sqref="G1186">
    <cfRule type="cellIs" dxfId="1468" priority="74" operator="between">
      <formula>TODAY()</formula>
      <formula>TODAY()+10</formula>
    </cfRule>
  </conditionalFormatting>
  <conditionalFormatting sqref="G1187">
    <cfRule type="cellIs" dxfId="1467" priority="73" operator="between">
      <formula>TODAY()</formula>
      <formula>TODAY()+10</formula>
    </cfRule>
  </conditionalFormatting>
  <conditionalFormatting sqref="G1188:G1190">
    <cfRule type="cellIs" dxfId="1466" priority="72" operator="between">
      <formula>TODAY()</formula>
      <formula>TODAY()+10</formula>
    </cfRule>
  </conditionalFormatting>
  <conditionalFormatting sqref="G1191">
    <cfRule type="cellIs" dxfId="1465" priority="71" operator="between">
      <formula>TODAY()</formula>
      <formula>TODAY()+10</formula>
    </cfRule>
  </conditionalFormatting>
  <conditionalFormatting sqref="G1192:G1193">
    <cfRule type="cellIs" dxfId="1464" priority="70" operator="between">
      <formula>TODAY()</formula>
      <formula>TODAY()+10</formula>
    </cfRule>
  </conditionalFormatting>
  <conditionalFormatting sqref="G1195">
    <cfRule type="cellIs" dxfId="1463" priority="69" operator="between">
      <formula>TODAY()</formula>
      <formula>TODAY()+10</formula>
    </cfRule>
  </conditionalFormatting>
  <conditionalFormatting sqref="G1196">
    <cfRule type="cellIs" dxfId="1462" priority="68" operator="between">
      <formula>TODAY()</formula>
      <formula>TODAY()+10</formula>
    </cfRule>
  </conditionalFormatting>
  <conditionalFormatting sqref="G1197">
    <cfRule type="cellIs" dxfId="1461" priority="67" operator="between">
      <formula>TODAY()</formula>
      <formula>TODAY()+10</formula>
    </cfRule>
  </conditionalFormatting>
  <conditionalFormatting sqref="G1198:G1199">
    <cfRule type="cellIs" dxfId="1460" priority="66" operator="between">
      <formula>TODAY()</formula>
      <formula>TODAY()+10</formula>
    </cfRule>
  </conditionalFormatting>
  <conditionalFormatting sqref="G1200">
    <cfRule type="cellIs" dxfId="1459" priority="65" operator="between">
      <formula>TODAY()</formula>
      <formula>TODAY()+10</formula>
    </cfRule>
  </conditionalFormatting>
  <conditionalFormatting sqref="G1201:G1202">
    <cfRule type="cellIs" dxfId="1458" priority="64" operator="between">
      <formula>TODAY()</formula>
      <formula>TODAY()+10</formula>
    </cfRule>
  </conditionalFormatting>
  <conditionalFormatting sqref="G1203">
    <cfRule type="cellIs" dxfId="1457" priority="63" operator="between">
      <formula>TODAY()</formula>
      <formula>TODAY()+10</formula>
    </cfRule>
  </conditionalFormatting>
  <conditionalFormatting sqref="G1204">
    <cfRule type="cellIs" dxfId="1456" priority="62" operator="between">
      <formula>TODAY()</formula>
      <formula>TODAY()+10</formula>
    </cfRule>
  </conditionalFormatting>
  <conditionalFormatting sqref="G1194">
    <cfRule type="cellIs" dxfId="1455" priority="61" operator="between">
      <formula>TODAY()</formula>
      <formula>TODAY()+10</formula>
    </cfRule>
  </conditionalFormatting>
  <conditionalFormatting sqref="G1208">
    <cfRule type="cellIs" dxfId="1454" priority="60" operator="between">
      <formula>TODAY()</formula>
      <formula>TODAY()+10</formula>
    </cfRule>
  </conditionalFormatting>
  <conditionalFormatting sqref="G1209">
    <cfRule type="cellIs" dxfId="1453" priority="59" operator="between">
      <formula>TODAY()</formula>
      <formula>TODAY()+10</formula>
    </cfRule>
  </conditionalFormatting>
  <conditionalFormatting sqref="G1210">
    <cfRule type="cellIs" dxfId="1452" priority="58" operator="between">
      <formula>TODAY()</formula>
      <formula>TODAY()+10</formula>
    </cfRule>
  </conditionalFormatting>
  <conditionalFormatting sqref="G1211">
    <cfRule type="cellIs" dxfId="1451" priority="57" operator="between">
      <formula>TODAY()</formula>
      <formula>TODAY()+10</formula>
    </cfRule>
  </conditionalFormatting>
  <conditionalFormatting sqref="G1212:G1215">
    <cfRule type="cellIs" dxfId="1450" priority="55" operator="between">
      <formula>TODAY()</formula>
      <formula>TODAY()+10</formula>
    </cfRule>
  </conditionalFormatting>
  <conditionalFormatting sqref="G1216:G1219">
    <cfRule type="cellIs" dxfId="1449" priority="54" operator="between">
      <formula>TODAY()</formula>
      <formula>TODAY()+10</formula>
    </cfRule>
  </conditionalFormatting>
  <conditionalFormatting sqref="G1220">
    <cfRule type="cellIs" dxfId="1448" priority="53" operator="between">
      <formula>TODAY()</formula>
      <formula>TODAY()+10</formula>
    </cfRule>
  </conditionalFormatting>
  <conditionalFormatting sqref="G1221:G1223">
    <cfRule type="cellIs" dxfId="1447" priority="52" operator="between">
      <formula>TODAY()</formula>
      <formula>TODAY()+10</formula>
    </cfRule>
  </conditionalFormatting>
  <conditionalFormatting sqref="G1224">
    <cfRule type="cellIs" dxfId="1446" priority="51" operator="between">
      <formula>TODAY()</formula>
      <formula>TODAY()+10</formula>
    </cfRule>
  </conditionalFormatting>
  <conditionalFormatting sqref="G1225:G1226">
    <cfRule type="cellIs" dxfId="1445" priority="50" operator="between">
      <formula>TODAY()</formula>
      <formula>TODAY()+10</formula>
    </cfRule>
  </conditionalFormatting>
  <conditionalFormatting sqref="G1227:G1228">
    <cfRule type="cellIs" dxfId="1444" priority="49" operator="between">
      <formula>TODAY()</formula>
      <formula>TODAY()+10</formula>
    </cfRule>
  </conditionalFormatting>
  <conditionalFormatting sqref="G1229">
    <cfRule type="cellIs" dxfId="1443" priority="48" operator="between">
      <formula>TODAY()</formula>
      <formula>TODAY()+10</formula>
    </cfRule>
  </conditionalFormatting>
  <conditionalFormatting sqref="G1230">
    <cfRule type="cellIs" dxfId="1442" priority="47" operator="between">
      <formula>TODAY()</formula>
      <formula>TODAY()+10</formula>
    </cfRule>
  </conditionalFormatting>
  <conditionalFormatting sqref="G1231">
    <cfRule type="cellIs" dxfId="1441" priority="46" operator="between">
      <formula>TODAY()</formula>
      <formula>TODAY()+10</formula>
    </cfRule>
  </conditionalFormatting>
  <conditionalFormatting sqref="G1232">
    <cfRule type="cellIs" dxfId="1440" priority="44" operator="between">
      <formula>TODAY()</formula>
      <formula>TODAY()+10</formula>
    </cfRule>
  </conditionalFormatting>
  <conditionalFormatting sqref="G1233">
    <cfRule type="cellIs" dxfId="1439" priority="43" operator="between">
      <formula>TODAY()</formula>
      <formula>TODAY()+10</formula>
    </cfRule>
  </conditionalFormatting>
  <conditionalFormatting sqref="G1235:G1238">
    <cfRule type="cellIs" dxfId="1438" priority="42" operator="between">
      <formula>TODAY()</formula>
      <formula>TODAY()+10</formula>
    </cfRule>
  </conditionalFormatting>
  <conditionalFormatting sqref="G1239">
    <cfRule type="cellIs" dxfId="1437" priority="41" operator="between">
      <formula>TODAY()</formula>
      <formula>TODAY()+10</formula>
    </cfRule>
  </conditionalFormatting>
  <conditionalFormatting sqref="G1242">
    <cfRule type="cellIs" dxfId="1436" priority="40" operator="between">
      <formula>TODAY()</formula>
      <formula>TODAY()+10</formula>
    </cfRule>
  </conditionalFormatting>
  <conditionalFormatting sqref="G1243">
    <cfRule type="cellIs" dxfId="1435" priority="39" operator="between">
      <formula>TODAY()</formula>
      <formula>TODAY()+10</formula>
    </cfRule>
  </conditionalFormatting>
  <conditionalFormatting sqref="G1240:G1241">
    <cfRule type="cellIs" dxfId="1434" priority="38" operator="between">
      <formula>TODAY()</formula>
      <formula>TODAY()+10</formula>
    </cfRule>
  </conditionalFormatting>
  <conditionalFormatting sqref="G1244:G1245">
    <cfRule type="cellIs" dxfId="1433" priority="37" operator="between">
      <formula>TODAY()</formula>
      <formula>TODAY()+10</formula>
    </cfRule>
  </conditionalFormatting>
  <conditionalFormatting sqref="G1259:G1260">
    <cfRule type="cellIs" dxfId="1432" priority="36" operator="between">
      <formula>TODAY()</formula>
      <formula>TODAY()+10</formula>
    </cfRule>
  </conditionalFormatting>
  <conditionalFormatting sqref="G1254:G1258">
    <cfRule type="cellIs" dxfId="1431" priority="35" operator="between">
      <formula>TODAY()</formula>
      <formula>TODAY()+10</formula>
    </cfRule>
  </conditionalFormatting>
  <conditionalFormatting sqref="G1246">
    <cfRule type="cellIs" dxfId="1430" priority="34" operator="between">
      <formula>TODAY()</formula>
      <formula>TODAY()+10</formula>
    </cfRule>
  </conditionalFormatting>
  <conditionalFormatting sqref="G1247:G1249">
    <cfRule type="cellIs" dxfId="1429" priority="33" operator="between">
      <formula>TODAY()</formula>
      <formula>TODAY()+10</formula>
    </cfRule>
  </conditionalFormatting>
  <conditionalFormatting sqref="G1250:G1253">
    <cfRule type="cellIs" dxfId="1428" priority="32" operator="between">
      <formula>TODAY()</formula>
      <formula>TODAY()+10</formula>
    </cfRule>
  </conditionalFormatting>
  <conditionalFormatting sqref="G1234">
    <cfRule type="cellIs" dxfId="1427" priority="31" operator="between">
      <formula>TODAY()</formula>
      <formula>TODAY()+10</formula>
    </cfRule>
  </conditionalFormatting>
  <conditionalFormatting sqref="G1264">
    <cfRule type="cellIs" dxfId="1426" priority="30" operator="between">
      <formula>TODAY()</formula>
      <formula>TODAY()+10</formula>
    </cfRule>
  </conditionalFormatting>
  <conditionalFormatting sqref="G1261:G1263">
    <cfRule type="cellIs" dxfId="1425" priority="29" operator="between">
      <formula>TODAY()</formula>
      <formula>TODAY()+10</formula>
    </cfRule>
  </conditionalFormatting>
  <conditionalFormatting sqref="G1265:G1266">
    <cfRule type="cellIs" dxfId="1424" priority="28" operator="between">
      <formula>TODAY()</formula>
      <formula>TODAY()+10</formula>
    </cfRule>
  </conditionalFormatting>
  <conditionalFormatting sqref="G1267">
    <cfRule type="cellIs" dxfId="1423" priority="27" operator="between">
      <formula>TODAY()</formula>
      <formula>TODAY()+10</formula>
    </cfRule>
  </conditionalFormatting>
  <conditionalFormatting sqref="G1268">
    <cfRule type="cellIs" dxfId="1422" priority="26" operator="between">
      <formula>TODAY()</formula>
      <formula>TODAY()+10</formula>
    </cfRule>
  </conditionalFormatting>
  <conditionalFormatting sqref="G1269">
    <cfRule type="cellIs" dxfId="1421" priority="25" operator="between">
      <formula>TODAY()</formula>
      <formula>TODAY()+10</formula>
    </cfRule>
  </conditionalFormatting>
  <conditionalFormatting sqref="G1270">
    <cfRule type="cellIs" dxfId="1420" priority="24" operator="between">
      <formula>TODAY()</formula>
      <formula>TODAY()+10</formula>
    </cfRule>
  </conditionalFormatting>
  <conditionalFormatting sqref="G1271:G1274">
    <cfRule type="cellIs" dxfId="1419" priority="23" operator="between">
      <formula>TODAY()</formula>
      <formula>TODAY()+10</formula>
    </cfRule>
  </conditionalFormatting>
  <conditionalFormatting sqref="G1275:G1276">
    <cfRule type="cellIs" dxfId="1418" priority="21" operator="between">
      <formula>TODAY()</formula>
      <formula>TODAY()+10</formula>
    </cfRule>
  </conditionalFormatting>
  <conditionalFormatting sqref="G1277">
    <cfRule type="cellIs" dxfId="1417" priority="20" operator="between">
      <formula>TODAY()</formula>
      <formula>TODAY()+10</formula>
    </cfRule>
  </conditionalFormatting>
  <conditionalFormatting sqref="G1278:G1281">
    <cfRule type="cellIs" dxfId="1416" priority="19" operator="between">
      <formula>TODAY()</formula>
      <formula>TODAY()+10</formula>
    </cfRule>
  </conditionalFormatting>
  <conditionalFormatting sqref="G1282">
    <cfRule type="cellIs" dxfId="1415" priority="18" operator="between">
      <formula>TODAY()</formula>
      <formula>TODAY()+10</formula>
    </cfRule>
  </conditionalFormatting>
  <conditionalFormatting sqref="G1283">
    <cfRule type="cellIs" dxfId="1414" priority="17" operator="between">
      <formula>TODAY()</formula>
      <formula>TODAY()+10</formula>
    </cfRule>
  </conditionalFormatting>
  <conditionalFormatting sqref="G1284">
    <cfRule type="cellIs" dxfId="1413" priority="16" operator="between">
      <formula>TODAY()</formula>
      <formula>TODAY()+10</formula>
    </cfRule>
  </conditionalFormatting>
  <conditionalFormatting sqref="G1285">
    <cfRule type="cellIs" dxfId="1412" priority="15" operator="between">
      <formula>TODAY()</formula>
      <formula>TODAY()+10</formula>
    </cfRule>
  </conditionalFormatting>
  <conditionalFormatting sqref="G1286:G1288">
    <cfRule type="cellIs" dxfId="1411" priority="14" operator="between">
      <formula>TODAY()</formula>
      <formula>TODAY()+10</formula>
    </cfRule>
  </conditionalFormatting>
  <conditionalFormatting sqref="G1289:G1291">
    <cfRule type="cellIs" dxfId="1410" priority="13" operator="between">
      <formula>TODAY()</formula>
      <formula>TODAY()+10</formula>
    </cfRule>
  </conditionalFormatting>
  <conditionalFormatting sqref="G1292">
    <cfRule type="cellIs" dxfId="1409" priority="12" operator="between">
      <formula>TODAY()</formula>
      <formula>TODAY()+10</formula>
    </cfRule>
  </conditionalFormatting>
  <conditionalFormatting sqref="G1293">
    <cfRule type="cellIs" dxfId="1408" priority="11" operator="between">
      <formula>TODAY()</formula>
      <formula>TODAY()+10</formula>
    </cfRule>
  </conditionalFormatting>
  <conditionalFormatting sqref="G1294">
    <cfRule type="cellIs" dxfId="1407" priority="10" operator="between">
      <formula>TODAY()</formula>
      <formula>TODAY()+10</formula>
    </cfRule>
  </conditionalFormatting>
  <conditionalFormatting sqref="G1295:G1299">
    <cfRule type="cellIs" dxfId="1406" priority="9" operator="between">
      <formula>TODAY()</formula>
      <formula>TODAY()+10</formula>
    </cfRule>
  </conditionalFormatting>
  <conditionalFormatting sqref="G1300">
    <cfRule type="cellIs" dxfId="1405" priority="7" operator="between">
      <formula>TODAY()</formula>
      <formula>TODAY()+10</formula>
    </cfRule>
  </conditionalFormatting>
  <conditionalFormatting sqref="G1301:G1308 G1312:G1313">
    <cfRule type="cellIs" dxfId="1404" priority="6" operator="between">
      <formula>TODAY()</formula>
      <formula>TODAY()+10</formula>
    </cfRule>
  </conditionalFormatting>
  <conditionalFormatting sqref="G1309:G1311">
    <cfRule type="cellIs" dxfId="1403" priority="5" operator="between">
      <formula>TODAY()</formula>
      <formula>TODAY()+10</formula>
    </cfRule>
  </conditionalFormatting>
  <conditionalFormatting sqref="G1314 G1316:G1317">
    <cfRule type="cellIs" dxfId="1402" priority="4" operator="between">
      <formula>TODAY()</formula>
      <formula>TODAY()+10</formula>
    </cfRule>
  </conditionalFormatting>
  <conditionalFormatting sqref="G1315">
    <cfRule type="cellIs" dxfId="1401" priority="3" operator="between">
      <formula>TODAY()</formula>
      <formula>TODAY()+10</formula>
    </cfRule>
  </conditionalFormatting>
  <conditionalFormatting sqref="G1318:G1319">
    <cfRule type="cellIs" dxfId="1400" priority="2" operator="between">
      <formula>TODAY()</formula>
      <formula>TODAY()+10</formula>
    </cfRule>
  </conditionalFormatting>
  <conditionalFormatting sqref="G1320">
    <cfRule type="cellIs" dxfId="1399" priority="1" operator="between">
      <formula>TODAY()</formula>
      <formula>TODAY()+10</formula>
    </cfRule>
  </conditionalFormatting>
  <dataValidations count="4">
    <dataValidation type="list" allowBlank="1" showInputMessage="1" showErrorMessage="1" sqref="B2:B4 B10:B16 B24:B25 B37:B38 B40 B42 B73:B75 B65:B68 B70:B71 B85:B86 B91:B92 B81:B83 B94:B96 B103:B104 B106:B121 B123:B129 B131:B135 B150 B152 B156 B161:B164 B170:B177 B185:B187 B191:B192 B194:B196 B198:B203 B205:B208 B212 B216:B227 B229:B230 B232:B236 B240:B241 B243:B255 B257:B258 B260:B263 B268:B270 B272:B273 B275:B277 B281 B289 B291:B294 B297:B299 B304:B306 B312:B313 B331:B332 B341:B342 B334 B344:B346 B348:B349 B351 B356:B357 B362 B371:B372 B382 B389:B390 B392 B404 B418:B419 B438:B441 B435 B443:B444 B449:B450 B452:B453 B456 B465 B468 B474:B475 B513:B515">
      <formula1>MATERIALES</formula1>
    </dataValidation>
    <dataValidation type="list" allowBlank="1" showInputMessage="1" showErrorMessage="1" sqref="C2 C3:D4 C10:C13 C14:D14 C15:C16 C24:C25 C37:C38 C40 C42 C60 C65:C68 C70:C75 C85:C86 C91:C92 C81:C83 C94:C96 C103:C104 C106:C121 C123:C129 C131:C135 C150 C152 C156 C161:C164 C171:C177 C185:C187 C191:C192 C194:C196 C198:C203 C205:C208 C212 C216:C227 C229:C230 C232:C236 B242 C240:C241 C243:C255 C257:C263 C268:C270 C272:C273 C275:C277 C281 C289 C291:C294 C297:C299 C304:C306 C312:C313 C331:C332 C341:C342 C334 C344:C346 C348:C349 C351 C356:C357 C359:C360 C362 C371:C372 C375:C378 C382:C384 C389:C390 C395:C404 B411:B412 C415:C416 B417 C418:C419 B424 B430 C438:C441 B434 C435 C443:C444 B447:B448 C452:C453 C449:C450 C465 B466 C468 C474:C475 C478 C480 C503 C508 C510:C516 C534 C552">
      <formula1>PROVEEDORES</formula1>
    </dataValidation>
    <dataValidation type="list" allowBlank="1" showInputMessage="1" showErrorMessage="1" sqref="E3:E9 E14:E15 E17:E18 E24 E26:E27 E29:E30 E35:E37 E41:E42 E52 E55:E58 E60:E66 E68 E70:E79 E85:E86 E81:E83 E89:E90 E92:E93 E95:E96 E103:E104 E106:E111 E114:E119 E121 E123:E129 E131:E135 E152 E156 E161:E162 E169 E171:E177 E185:E187 E191:E192 E194 E196:E227 E229:E230 E232:E236 E240:E242 E244:E255 E257:E258 E260:E263 E268:E270 E272:E273 E275:E277 E281 E289 E291:E295 E297:E299 E304:E306 E312:E313 E316:E318 E330:E332 E341:E342 E334 E344:E346 E348:E349 E351 E356:E362 E366 E395:E404 E411:E412 E417:E418 E424 E430 E438:E441 E434:E435 E443:E444 E447:E448 E452:E453 E465:E466 E468 E479">
      <formula1>PLAZOdePAGO</formula1>
    </dataValidation>
    <dataValidation type="list" allowBlank="1" showInputMessage="1" showErrorMessage="1" sqref="F3:F4 F14:F15 F17 F24 F26:F27 F29:F30 F35:F37 F41:F42 F55:F58 F60:F66 F68 F70:F79 F85:F86 F81:F83 F89:F90 F92:F93 F95:F96 D103:D104 F103:F104 F106:F111 F114:F119 F121 F123:F129 F131:F135 F152 F156 F161:F162 F169 F171:F177 F186:F187 F191:F192 F194:F196 F198:F203 F205:F208 F212 F219:F227 F229:F230 F232:F236 F240:F242 F244:F255 F257:F258 F260:F263 F268:F270 F272:F273 F275:F277 F281 F289 F291:F295 F297:F299 F304:F306 F312:F313 F316:F318 F330:F332 F341:F342 F334 F344:F346 F348:F349 F351 F356:F358 F361:F362 F366 F371:F372 F382 F392:F404 F410 F413:F414 F418:F423 F425:F426 F431:F433 F435:F446 F449:F450 F452:F453 F456 F458:F462 F465 F468 F473:F477 F479 F498 F513:F515 F525:F526">
      <formula1>PLAZOdePAGO2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opLeftCell="A16" workbookViewId="0">
      <selection activeCell="C17" sqref="C17:C18"/>
    </sheetView>
  </sheetViews>
  <sheetFormatPr baseColWidth="10" defaultColWidth="11.44140625" defaultRowHeight="14.4" x14ac:dyDescent="0.3"/>
  <cols>
    <col min="1" max="1" width="10.44140625" style="10" customWidth="1"/>
    <col min="2" max="2" width="23.44140625" style="10" customWidth="1"/>
    <col min="3" max="3" width="24" style="10" customWidth="1"/>
    <col min="4" max="4" width="11.44140625" style="10"/>
    <col min="5" max="5" width="4.44140625" style="10" bestFit="1" customWidth="1"/>
    <col min="6" max="6" width="6.44140625" style="10" bestFit="1" customWidth="1"/>
    <col min="7" max="10" width="11.44140625" style="10"/>
    <col min="11" max="11" width="18" style="10" customWidth="1"/>
    <col min="12" max="16384" width="11.44140625" style="10"/>
  </cols>
  <sheetData>
    <row r="1" spans="1:15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5" ht="15" x14ac:dyDescent="0.25">
      <c r="A2" s="48" t="s">
        <v>146</v>
      </c>
      <c r="B2" s="1" t="s">
        <v>33</v>
      </c>
      <c r="C2" s="3" t="s">
        <v>15</v>
      </c>
      <c r="D2" s="64" t="s">
        <v>213</v>
      </c>
      <c r="E2" s="62" t="s">
        <v>5</v>
      </c>
      <c r="F2" s="63"/>
      <c r="G2" s="7">
        <v>42954</v>
      </c>
      <c r="H2" s="9">
        <v>1540</v>
      </c>
      <c r="I2" s="8">
        <v>240</v>
      </c>
      <c r="J2" s="8">
        <f t="shared" ref="J2:J15" si="0">+H2*I2</f>
        <v>369600</v>
      </c>
      <c r="K2" s="53">
        <v>42944</v>
      </c>
      <c r="L2" s="42"/>
      <c r="M2" s="43"/>
      <c r="N2" s="43"/>
      <c r="O2" s="43"/>
    </row>
    <row r="3" spans="1:15" ht="15" x14ac:dyDescent="0.25">
      <c r="A3" s="48" t="s">
        <v>202</v>
      </c>
      <c r="B3" s="1" t="s">
        <v>33</v>
      </c>
      <c r="C3" s="3" t="s">
        <v>15</v>
      </c>
      <c r="D3" s="64" t="s">
        <v>214</v>
      </c>
      <c r="E3" s="62" t="s">
        <v>5</v>
      </c>
      <c r="F3" s="63"/>
      <c r="G3" s="7">
        <v>42954</v>
      </c>
      <c r="H3" s="9">
        <v>1100</v>
      </c>
      <c r="I3" s="8">
        <v>240</v>
      </c>
      <c r="J3" s="8">
        <f t="shared" si="0"/>
        <v>264000</v>
      </c>
      <c r="K3" s="53">
        <v>42944</v>
      </c>
      <c r="L3" s="37"/>
      <c r="M3" s="43"/>
      <c r="N3" s="43"/>
      <c r="O3" s="43"/>
    </row>
    <row r="4" spans="1:15" ht="15" x14ac:dyDescent="0.25">
      <c r="A4" s="48" t="s">
        <v>203</v>
      </c>
      <c r="B4" s="1" t="s">
        <v>33</v>
      </c>
      <c r="C4" s="3" t="s">
        <v>15</v>
      </c>
      <c r="D4" s="64" t="s">
        <v>215</v>
      </c>
      <c r="E4" s="62" t="s">
        <v>5</v>
      </c>
      <c r="F4" s="63"/>
      <c r="G4" s="7">
        <v>42954</v>
      </c>
      <c r="H4" s="9">
        <v>440</v>
      </c>
      <c r="I4" s="8">
        <v>240</v>
      </c>
      <c r="J4" s="8">
        <f t="shared" si="0"/>
        <v>105600</v>
      </c>
      <c r="K4" s="53">
        <v>42944</v>
      </c>
      <c r="L4" s="37"/>
      <c r="M4" s="43"/>
      <c r="N4" s="43"/>
      <c r="O4" s="43"/>
    </row>
    <row r="5" spans="1:15" ht="15" x14ac:dyDescent="0.25">
      <c r="A5" s="48" t="s">
        <v>204</v>
      </c>
      <c r="B5" s="1" t="s">
        <v>33</v>
      </c>
      <c r="C5" s="3" t="s">
        <v>15</v>
      </c>
      <c r="D5" s="64" t="s">
        <v>216</v>
      </c>
      <c r="E5" s="62" t="s">
        <v>5</v>
      </c>
      <c r="F5" s="63"/>
      <c r="G5" s="7">
        <v>42954</v>
      </c>
      <c r="H5" s="9">
        <v>1320</v>
      </c>
      <c r="I5" s="8">
        <v>240</v>
      </c>
      <c r="J5" s="8">
        <f t="shared" si="0"/>
        <v>316800</v>
      </c>
      <c r="K5" s="53">
        <v>42944</v>
      </c>
      <c r="L5" s="37"/>
      <c r="M5" s="43"/>
      <c r="N5" s="43"/>
      <c r="O5" s="43"/>
    </row>
    <row r="6" spans="1:15" x14ac:dyDescent="0.3">
      <c r="A6" s="48" t="s">
        <v>63</v>
      </c>
      <c r="B6" s="1" t="s">
        <v>8</v>
      </c>
      <c r="C6" s="3" t="s">
        <v>15</v>
      </c>
      <c r="D6" s="64" t="s">
        <v>217</v>
      </c>
      <c r="E6" s="62" t="s">
        <v>5</v>
      </c>
      <c r="F6" s="63"/>
      <c r="G6" s="7">
        <v>42954</v>
      </c>
      <c r="H6" s="9">
        <v>880</v>
      </c>
      <c r="I6" s="8">
        <v>378</v>
      </c>
      <c r="J6" s="8">
        <f t="shared" si="0"/>
        <v>332640</v>
      </c>
      <c r="K6" s="53">
        <v>42944</v>
      </c>
      <c r="L6" s="37"/>
      <c r="M6" s="43"/>
      <c r="N6" s="43"/>
      <c r="O6" s="43"/>
    </row>
    <row r="7" spans="1:15" x14ac:dyDescent="0.3">
      <c r="A7" s="48" t="s">
        <v>205</v>
      </c>
      <c r="B7" s="1" t="s">
        <v>8</v>
      </c>
      <c r="C7" s="3" t="s">
        <v>15</v>
      </c>
      <c r="D7" s="64" t="s">
        <v>218</v>
      </c>
      <c r="E7" s="62" t="s">
        <v>5</v>
      </c>
      <c r="F7" s="63"/>
      <c r="G7" s="7">
        <v>42954</v>
      </c>
      <c r="H7" s="9">
        <v>1155</v>
      </c>
      <c r="I7" s="8">
        <v>378</v>
      </c>
      <c r="J7" s="8">
        <f t="shared" si="0"/>
        <v>436590</v>
      </c>
      <c r="K7" s="53">
        <v>42944</v>
      </c>
      <c r="L7" s="37"/>
      <c r="M7" s="43"/>
      <c r="N7" s="43"/>
      <c r="O7" s="43"/>
    </row>
    <row r="8" spans="1:15" x14ac:dyDescent="0.3">
      <c r="A8" s="48" t="s">
        <v>206</v>
      </c>
      <c r="B8" s="1" t="s">
        <v>8</v>
      </c>
      <c r="C8" s="3" t="s">
        <v>15</v>
      </c>
      <c r="D8" s="64" t="s">
        <v>219</v>
      </c>
      <c r="E8" s="62" t="s">
        <v>5</v>
      </c>
      <c r="F8" s="63"/>
      <c r="G8" s="7">
        <v>42954</v>
      </c>
      <c r="H8" s="9">
        <v>1870</v>
      </c>
      <c r="I8" s="8">
        <v>378</v>
      </c>
      <c r="J8" s="8">
        <f t="shared" si="0"/>
        <v>706860</v>
      </c>
      <c r="K8" s="53">
        <v>42944</v>
      </c>
      <c r="L8" s="37"/>
      <c r="M8" s="43"/>
      <c r="N8" s="43"/>
      <c r="O8" s="43"/>
    </row>
    <row r="9" spans="1:15" x14ac:dyDescent="0.3">
      <c r="A9" s="48" t="s">
        <v>207</v>
      </c>
      <c r="B9" s="1" t="s">
        <v>8</v>
      </c>
      <c r="C9" s="3" t="s">
        <v>15</v>
      </c>
      <c r="D9" s="64" t="s">
        <v>220</v>
      </c>
      <c r="E9" s="62" t="s">
        <v>5</v>
      </c>
      <c r="F9" s="63"/>
      <c r="G9" s="7">
        <v>42954</v>
      </c>
      <c r="H9" s="9">
        <v>715</v>
      </c>
      <c r="I9" s="8">
        <v>378</v>
      </c>
      <c r="J9" s="8">
        <f t="shared" si="0"/>
        <v>270270</v>
      </c>
      <c r="K9" s="53">
        <v>42944</v>
      </c>
      <c r="L9" s="37"/>
      <c r="M9" s="43"/>
      <c r="N9" s="43"/>
      <c r="O9" s="43"/>
    </row>
    <row r="10" spans="1:15" x14ac:dyDescent="0.3">
      <c r="A10" s="48" t="s">
        <v>208</v>
      </c>
      <c r="B10" s="1" t="s">
        <v>8</v>
      </c>
      <c r="C10" s="3" t="s">
        <v>15</v>
      </c>
      <c r="D10" s="64" t="s">
        <v>221</v>
      </c>
      <c r="E10" s="62" t="s">
        <v>5</v>
      </c>
      <c r="F10" s="63"/>
      <c r="G10" s="7">
        <v>42954</v>
      </c>
      <c r="H10" s="9">
        <v>1980</v>
      </c>
      <c r="I10" s="8">
        <v>378</v>
      </c>
      <c r="J10" s="8">
        <f t="shared" si="0"/>
        <v>748440</v>
      </c>
      <c r="K10" s="53">
        <v>42944</v>
      </c>
      <c r="L10" s="37"/>
      <c r="M10" s="43"/>
      <c r="N10" s="43"/>
      <c r="O10" s="43"/>
    </row>
    <row r="11" spans="1:15" x14ac:dyDescent="0.3">
      <c r="A11" s="48" t="s">
        <v>64</v>
      </c>
      <c r="B11" s="1" t="s">
        <v>39</v>
      </c>
      <c r="C11" s="3" t="s">
        <v>15</v>
      </c>
      <c r="D11" s="64" t="s">
        <v>222</v>
      </c>
      <c r="E11" s="62" t="s">
        <v>5</v>
      </c>
      <c r="F11" s="63"/>
      <c r="G11" s="7">
        <v>42954</v>
      </c>
      <c r="H11" s="9">
        <v>4345</v>
      </c>
      <c r="I11" s="8">
        <v>132.375</v>
      </c>
      <c r="J11" s="8">
        <f t="shared" si="0"/>
        <v>575169.375</v>
      </c>
      <c r="K11" s="53">
        <v>42944</v>
      </c>
      <c r="L11" s="37"/>
      <c r="M11" s="43"/>
      <c r="N11" s="43"/>
      <c r="O11" s="43"/>
    </row>
    <row r="12" spans="1:15" x14ac:dyDescent="0.3">
      <c r="A12" s="48" t="s">
        <v>209</v>
      </c>
      <c r="B12" s="1" t="s">
        <v>39</v>
      </c>
      <c r="C12" s="3" t="s">
        <v>15</v>
      </c>
      <c r="D12" s="64" t="s">
        <v>223</v>
      </c>
      <c r="E12" s="62" t="s">
        <v>5</v>
      </c>
      <c r="F12" s="63"/>
      <c r="G12" s="7">
        <v>42954</v>
      </c>
      <c r="H12" s="9">
        <v>3300</v>
      </c>
      <c r="I12" s="8">
        <v>132.375</v>
      </c>
      <c r="J12" s="8">
        <f t="shared" si="0"/>
        <v>436837.5</v>
      </c>
      <c r="K12" s="53">
        <v>42944</v>
      </c>
      <c r="L12" s="37"/>
      <c r="M12" s="43"/>
      <c r="N12" s="43"/>
      <c r="O12" s="43"/>
    </row>
    <row r="13" spans="1:15" x14ac:dyDescent="0.3">
      <c r="A13" s="48" t="s">
        <v>210</v>
      </c>
      <c r="B13" s="1" t="s">
        <v>39</v>
      </c>
      <c r="C13" s="3" t="s">
        <v>15</v>
      </c>
      <c r="D13" s="64" t="s">
        <v>224</v>
      </c>
      <c r="E13" s="62" t="s">
        <v>5</v>
      </c>
      <c r="F13" s="63"/>
      <c r="G13" s="7">
        <v>42954</v>
      </c>
      <c r="H13" s="9">
        <v>605</v>
      </c>
      <c r="I13" s="8">
        <v>132.375</v>
      </c>
      <c r="J13" s="8">
        <f t="shared" si="0"/>
        <v>80086.875</v>
      </c>
      <c r="K13" s="53">
        <v>42944</v>
      </c>
      <c r="L13" s="37"/>
      <c r="M13" s="43"/>
      <c r="N13" s="43"/>
      <c r="O13" s="43"/>
    </row>
    <row r="14" spans="1:15" x14ac:dyDescent="0.3">
      <c r="A14" s="48" t="s">
        <v>211</v>
      </c>
      <c r="B14" s="1" t="s">
        <v>39</v>
      </c>
      <c r="C14" s="3" t="s">
        <v>15</v>
      </c>
      <c r="D14" s="64" t="s">
        <v>225</v>
      </c>
      <c r="E14" s="62" t="s">
        <v>5</v>
      </c>
      <c r="F14" s="63"/>
      <c r="G14" s="7">
        <v>42954</v>
      </c>
      <c r="H14" s="9">
        <v>220</v>
      </c>
      <c r="I14" s="8">
        <v>132.375</v>
      </c>
      <c r="J14" s="8">
        <f t="shared" si="0"/>
        <v>29122.5</v>
      </c>
      <c r="K14" s="53">
        <v>42944</v>
      </c>
      <c r="L14" s="37"/>
      <c r="M14" s="43"/>
      <c r="N14" s="43"/>
      <c r="O14" s="43"/>
    </row>
    <row r="15" spans="1:15" x14ac:dyDescent="0.3">
      <c r="A15" s="48" t="s">
        <v>212</v>
      </c>
      <c r="B15" s="1" t="s">
        <v>39</v>
      </c>
      <c r="C15" s="3" t="s">
        <v>15</v>
      </c>
      <c r="D15" s="64" t="s">
        <v>226</v>
      </c>
      <c r="E15" s="62" t="s">
        <v>5</v>
      </c>
      <c r="F15" s="63"/>
      <c r="G15" s="7">
        <v>42954</v>
      </c>
      <c r="H15" s="9">
        <v>330</v>
      </c>
      <c r="I15" s="8">
        <v>132.375</v>
      </c>
      <c r="J15" s="8">
        <f t="shared" si="0"/>
        <v>43683.75</v>
      </c>
      <c r="K15" s="53">
        <v>42944</v>
      </c>
      <c r="L15" s="37"/>
      <c r="M15" s="43"/>
      <c r="N15" s="43"/>
      <c r="O15" s="43"/>
    </row>
    <row r="16" spans="1:15" ht="18.75" x14ac:dyDescent="0.3">
      <c r="A16" s="531" t="s">
        <v>91</v>
      </c>
      <c r="B16" s="532"/>
      <c r="C16" s="13"/>
      <c r="D16" s="13"/>
      <c r="E16" s="13"/>
      <c r="F16" s="13"/>
      <c r="G16" s="13"/>
      <c r="H16" s="13"/>
      <c r="I16" s="13"/>
      <c r="J16" s="13"/>
      <c r="K16" s="14"/>
    </row>
    <row r="17" spans="1:13" ht="13.35" customHeight="1" x14ac:dyDescent="0.3">
      <c r="A17" s="49"/>
      <c r="B17" s="17" t="s">
        <v>76</v>
      </c>
      <c r="C17" s="37" t="s">
        <v>15</v>
      </c>
      <c r="D17" s="37"/>
      <c r="E17" s="37"/>
      <c r="F17" s="37"/>
      <c r="G17" s="37"/>
      <c r="H17" s="18"/>
      <c r="I17" s="18"/>
      <c r="J17" s="18"/>
      <c r="K17" s="19"/>
    </row>
    <row r="18" spans="1:13" ht="13.35" customHeight="1" x14ac:dyDescent="0.3">
      <c r="A18" s="49"/>
      <c r="B18" s="17" t="s">
        <v>78</v>
      </c>
      <c r="C18" s="37" t="s">
        <v>227</v>
      </c>
      <c r="D18" s="37"/>
      <c r="E18" s="37"/>
      <c r="F18" s="37"/>
      <c r="G18" s="37"/>
      <c r="H18" s="18"/>
      <c r="I18" s="18"/>
      <c r="J18" s="18"/>
      <c r="K18" s="19"/>
    </row>
    <row r="19" spans="1:13" ht="13.35" customHeight="1" x14ac:dyDescent="0.3">
      <c r="A19" s="49"/>
      <c r="B19" s="56" t="s">
        <v>98</v>
      </c>
      <c r="C19" s="17" t="s">
        <v>228</v>
      </c>
      <c r="D19" s="37"/>
      <c r="E19" s="37"/>
      <c r="F19" s="37"/>
      <c r="G19" s="37"/>
      <c r="H19" s="18"/>
      <c r="I19" s="18"/>
      <c r="J19" s="18"/>
      <c r="K19" s="19"/>
    </row>
    <row r="20" spans="1:13" ht="13.35" customHeight="1" x14ac:dyDescent="0.3">
      <c r="A20" s="49"/>
      <c r="B20" s="17" t="s">
        <v>83</v>
      </c>
      <c r="C20" s="45" t="s">
        <v>229</v>
      </c>
      <c r="D20" s="37"/>
      <c r="E20" s="37"/>
      <c r="F20" s="37"/>
      <c r="G20" s="37"/>
      <c r="H20" s="18"/>
      <c r="I20" s="18"/>
      <c r="J20" s="18"/>
      <c r="K20" s="19"/>
    </row>
    <row r="21" spans="1:13" ht="13.35" customHeight="1" x14ac:dyDescent="0.3">
      <c r="A21" s="49"/>
      <c r="B21" s="17" t="s">
        <v>81</v>
      </c>
      <c r="C21" s="45">
        <v>7938260465</v>
      </c>
      <c r="D21" s="37"/>
      <c r="E21" s="37"/>
      <c r="F21" s="37"/>
      <c r="G21" s="37"/>
      <c r="H21" s="18"/>
      <c r="I21" s="18"/>
      <c r="J21" s="18"/>
      <c r="K21" s="19"/>
    </row>
    <row r="22" spans="1:13" ht="13.35" customHeight="1" x14ac:dyDescent="0.25">
      <c r="A22" s="49"/>
      <c r="B22" s="17" t="s">
        <v>121</v>
      </c>
      <c r="C22" s="45">
        <v>121000248</v>
      </c>
      <c r="D22" s="37"/>
      <c r="E22" s="37"/>
      <c r="F22" s="37"/>
      <c r="G22" s="37"/>
      <c r="H22" s="18"/>
      <c r="I22" s="18"/>
      <c r="J22" s="18"/>
      <c r="K22" s="19"/>
    </row>
    <row r="23" spans="1:13" ht="13.35" customHeight="1" x14ac:dyDescent="0.3">
      <c r="A23" s="49"/>
      <c r="B23" s="17" t="s">
        <v>85</v>
      </c>
      <c r="C23" s="45" t="s">
        <v>230</v>
      </c>
      <c r="D23" s="37"/>
      <c r="E23" s="37"/>
      <c r="F23" s="37"/>
      <c r="G23" s="37"/>
      <c r="H23" s="18"/>
      <c r="I23" s="18"/>
      <c r="J23" s="18"/>
      <c r="K23" s="19"/>
    </row>
    <row r="24" spans="1:13" ht="13.35" customHeight="1" x14ac:dyDescent="0.25">
      <c r="A24" s="5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3" ht="7.5" customHeight="1" x14ac:dyDescent="0.25">
      <c r="A25" s="47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3" ht="15" x14ac:dyDescent="0.25">
      <c r="A26" s="48" t="s">
        <v>59</v>
      </c>
      <c r="B26" s="1" t="s">
        <v>56</v>
      </c>
      <c r="C26" s="3" t="s">
        <v>50</v>
      </c>
      <c r="D26" s="41" t="s">
        <v>154</v>
      </c>
      <c r="E26" s="5" t="s">
        <v>5</v>
      </c>
      <c r="F26" s="6"/>
      <c r="G26" s="7">
        <v>42948</v>
      </c>
      <c r="H26" s="9">
        <v>96</v>
      </c>
      <c r="I26" s="8">
        <v>315</v>
      </c>
      <c r="J26" s="8">
        <v>30240</v>
      </c>
      <c r="K26" s="53"/>
    </row>
    <row r="27" spans="1:13" ht="15" x14ac:dyDescent="0.25">
      <c r="A27" s="48" t="s">
        <v>60</v>
      </c>
      <c r="B27" s="1" t="s">
        <v>56</v>
      </c>
      <c r="C27" s="3" t="s">
        <v>50</v>
      </c>
      <c r="D27" s="41" t="s">
        <v>155</v>
      </c>
      <c r="E27" s="5" t="s">
        <v>5</v>
      </c>
      <c r="F27" s="6"/>
      <c r="G27" s="7">
        <v>42948</v>
      </c>
      <c r="H27" s="9">
        <v>288</v>
      </c>
      <c r="I27" s="8">
        <v>320</v>
      </c>
      <c r="J27" s="8">
        <v>92160</v>
      </c>
      <c r="K27" s="53"/>
    </row>
    <row r="28" spans="1:13" ht="18.75" x14ac:dyDescent="0.3">
      <c r="A28" s="531" t="s">
        <v>91</v>
      </c>
      <c r="B28" s="532"/>
      <c r="C28" s="13"/>
      <c r="D28" s="13"/>
      <c r="E28" s="13"/>
      <c r="F28" s="13"/>
      <c r="G28" s="13"/>
      <c r="H28" s="13"/>
      <c r="I28" s="13"/>
      <c r="J28" s="13"/>
      <c r="K28" s="14"/>
    </row>
    <row r="29" spans="1:13" x14ac:dyDescent="0.3">
      <c r="A29" s="49"/>
      <c r="B29" s="17" t="s">
        <v>76</v>
      </c>
      <c r="C29" s="37" t="s">
        <v>192</v>
      </c>
      <c r="D29" s="37"/>
      <c r="E29" s="37"/>
      <c r="F29" s="37"/>
      <c r="G29" s="37"/>
      <c r="H29" s="18"/>
      <c r="I29" s="18"/>
      <c r="J29" s="18"/>
      <c r="K29" s="19"/>
      <c r="M29" s="59" t="str">
        <f>+UPPER(H29)</f>
        <v/>
      </c>
    </row>
    <row r="30" spans="1:13" x14ac:dyDescent="0.3">
      <c r="A30" s="49"/>
      <c r="B30" s="17" t="s">
        <v>78</v>
      </c>
      <c r="C30" s="37" t="s">
        <v>193</v>
      </c>
      <c r="D30" s="37"/>
      <c r="E30" s="37"/>
      <c r="F30" s="37"/>
      <c r="G30" s="37"/>
      <c r="H30" s="18"/>
      <c r="I30" s="59"/>
      <c r="J30" s="18"/>
      <c r="K30" s="19"/>
    </row>
    <row r="31" spans="1:13" x14ac:dyDescent="0.3">
      <c r="A31" s="49"/>
      <c r="B31" s="56" t="s">
        <v>98</v>
      </c>
      <c r="C31" s="45" t="s">
        <v>194</v>
      </c>
      <c r="D31" s="37"/>
      <c r="E31" s="37"/>
      <c r="F31" s="37"/>
      <c r="G31" s="37"/>
      <c r="H31" s="18"/>
      <c r="I31" s="18"/>
      <c r="J31" s="18"/>
      <c r="K31" s="19"/>
    </row>
    <row r="32" spans="1:13" ht="15" x14ac:dyDescent="0.25">
      <c r="A32" s="49"/>
      <c r="B32" s="17" t="s">
        <v>169</v>
      </c>
      <c r="C32" s="17" t="s">
        <v>196</v>
      </c>
      <c r="D32" s="37"/>
      <c r="E32" s="37"/>
      <c r="F32" s="37"/>
      <c r="G32" s="37"/>
      <c r="H32" s="18"/>
      <c r="I32" s="18"/>
      <c r="J32" s="18"/>
      <c r="K32" s="19"/>
    </row>
    <row r="33" spans="1:11" x14ac:dyDescent="0.3">
      <c r="A33" s="49"/>
      <c r="B33" s="17" t="s">
        <v>85</v>
      </c>
      <c r="C33" s="44" t="s">
        <v>195</v>
      </c>
      <c r="D33" s="37"/>
      <c r="E33" s="37"/>
      <c r="F33" s="37"/>
      <c r="G33" s="37"/>
      <c r="H33" s="18"/>
      <c r="I33" s="18"/>
      <c r="J33" s="18"/>
      <c r="K33" s="19"/>
    </row>
    <row r="34" spans="1:11" x14ac:dyDescent="0.3">
      <c r="A34" s="49"/>
      <c r="B34" s="56" t="s">
        <v>165</v>
      </c>
      <c r="C34" s="45" t="s">
        <v>197</v>
      </c>
      <c r="D34" s="37"/>
      <c r="E34" s="37"/>
      <c r="F34" s="37"/>
      <c r="G34" s="37"/>
      <c r="H34" s="18"/>
      <c r="I34" s="18"/>
      <c r="J34" s="18"/>
      <c r="K34" s="19"/>
    </row>
    <row r="35" spans="1:11" x14ac:dyDescent="0.3">
      <c r="A35" s="49"/>
      <c r="B35" s="17" t="s">
        <v>85</v>
      </c>
      <c r="C35" s="45" t="s">
        <v>199</v>
      </c>
      <c r="D35" s="37"/>
      <c r="E35" s="37"/>
      <c r="F35" s="37"/>
      <c r="G35" s="37"/>
      <c r="H35" s="18"/>
      <c r="I35" s="18"/>
      <c r="J35" s="18"/>
      <c r="K35" s="19"/>
    </row>
    <row r="36" spans="1:11" x14ac:dyDescent="0.3">
      <c r="A36" s="49"/>
      <c r="B36" s="56" t="s">
        <v>198</v>
      </c>
      <c r="C36" s="45" t="s">
        <v>200</v>
      </c>
      <c r="D36" s="37"/>
      <c r="E36" s="37"/>
      <c r="F36" s="37"/>
      <c r="G36" s="37"/>
      <c r="H36" s="18"/>
      <c r="I36" s="18"/>
      <c r="J36" s="18"/>
      <c r="K36" s="19"/>
    </row>
    <row r="37" spans="1:11" x14ac:dyDescent="0.3">
      <c r="A37" s="49"/>
      <c r="B37" s="17" t="s">
        <v>85</v>
      </c>
      <c r="C37" s="45" t="s">
        <v>201</v>
      </c>
      <c r="D37" s="37"/>
      <c r="E37" s="37"/>
      <c r="F37" s="37"/>
      <c r="G37" s="37"/>
      <c r="H37" s="18"/>
      <c r="I37" s="18"/>
      <c r="J37" s="18"/>
      <c r="K37" s="19"/>
    </row>
    <row r="38" spans="1:11" ht="15" x14ac:dyDescent="0.25">
      <c r="A38" s="50"/>
      <c r="B38" s="21"/>
      <c r="C38" s="21"/>
      <c r="D38" s="21"/>
      <c r="E38" s="21"/>
      <c r="F38" s="21"/>
      <c r="G38" s="21"/>
      <c r="H38" s="22"/>
      <c r="I38" s="22"/>
      <c r="J38" s="22"/>
      <c r="K38" s="23"/>
    </row>
  </sheetData>
  <mergeCells count="2">
    <mergeCell ref="A16:B16"/>
    <mergeCell ref="A28:B28"/>
  </mergeCells>
  <conditionalFormatting sqref="G2">
    <cfRule type="cellIs" dxfId="1870" priority="22" operator="between">
      <formula>TODAY()</formula>
      <formula>TODAY()+10</formula>
    </cfRule>
  </conditionalFormatting>
  <conditionalFormatting sqref="G2">
    <cfRule type="cellIs" dxfId="1869" priority="21" operator="between">
      <formula>TODAY()</formula>
      <formula>TODAY()+10</formula>
    </cfRule>
  </conditionalFormatting>
  <conditionalFormatting sqref="G26">
    <cfRule type="cellIs" dxfId="1868" priority="16" operator="between">
      <formula>TODAY()</formula>
      <formula>TODAY()+10</formula>
    </cfRule>
  </conditionalFormatting>
  <conditionalFormatting sqref="G26">
    <cfRule type="cellIs" dxfId="1867" priority="15" operator="between">
      <formula>TODAY()</formula>
      <formula>TODAY()+10</formula>
    </cfRule>
  </conditionalFormatting>
  <conditionalFormatting sqref="G27">
    <cfRule type="cellIs" dxfId="1866" priority="14" operator="between">
      <formula>TODAY()</formula>
      <formula>TODAY()+10</formula>
    </cfRule>
  </conditionalFormatting>
  <conditionalFormatting sqref="G27">
    <cfRule type="cellIs" dxfId="1865" priority="13" operator="between">
      <formula>TODAY()</formula>
      <formula>TODAY()+10</formula>
    </cfRule>
  </conditionalFormatting>
  <conditionalFormatting sqref="G3:G15">
    <cfRule type="cellIs" dxfId="1864" priority="2" operator="between">
      <formula>TODAY()</formula>
      <formula>TODAY()+10</formula>
    </cfRule>
  </conditionalFormatting>
  <conditionalFormatting sqref="G3:G15">
    <cfRule type="cellIs" dxfId="1863" priority="1" operator="between">
      <formula>TODAY()</formula>
      <formula>TODAY()+10</formula>
    </cfRule>
  </conditionalFormatting>
  <dataValidations count="1">
    <dataValidation type="list" allowBlank="1" showInputMessage="1" showErrorMessage="1" sqref="E26:E27 E2:E15">
      <formula1>PLAZOdePAGO</formula1>
    </dataValidation>
  </dataValidation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ColWidth="11.44140625" defaultRowHeight="14.4" x14ac:dyDescent="0.3"/>
  <cols>
    <col min="1" max="1" width="15.44140625" style="114" customWidth="1"/>
    <col min="2" max="2" width="29.21875" style="114" customWidth="1"/>
    <col min="3" max="3" width="9.33203125" style="114" customWidth="1"/>
    <col min="4" max="4" width="15.44140625" style="115" customWidth="1"/>
    <col min="5" max="5" width="9.44140625" style="115" customWidth="1"/>
    <col min="6" max="6" width="10.44140625" style="115" customWidth="1"/>
    <col min="7" max="8" width="10.44140625" style="351" customWidth="1"/>
    <col min="9" max="9" width="14.5546875" style="351" customWidth="1"/>
    <col min="10" max="10" width="11.44140625" style="351" customWidth="1"/>
    <col min="11" max="11" width="12.5546875" style="351" customWidth="1"/>
    <col min="12" max="12" width="14.44140625" style="351" customWidth="1"/>
    <col min="13" max="13" width="38.88671875" style="351" customWidth="1"/>
    <col min="14" max="16384" width="11.44140625" style="351"/>
  </cols>
  <sheetData>
    <row r="1" spans="1:13" s="213" customFormat="1" ht="32.25" customHeight="1" x14ac:dyDescent="0.3">
      <c r="A1" s="333" t="s">
        <v>501</v>
      </c>
      <c r="B1" s="333" t="s">
        <v>1</v>
      </c>
      <c r="C1" s="333" t="s">
        <v>2</v>
      </c>
      <c r="D1" s="333" t="s">
        <v>111</v>
      </c>
      <c r="E1" s="333" t="s">
        <v>21</v>
      </c>
      <c r="F1" s="333" t="s">
        <v>22</v>
      </c>
      <c r="G1" s="333" t="s">
        <v>3</v>
      </c>
      <c r="H1" s="333" t="s">
        <v>3643</v>
      </c>
      <c r="I1" s="334" t="s">
        <v>19</v>
      </c>
      <c r="J1" s="334" t="s">
        <v>23</v>
      </c>
      <c r="K1" s="334" t="s">
        <v>75</v>
      </c>
      <c r="L1" s="333" t="s">
        <v>1980</v>
      </c>
      <c r="M1" s="334" t="s">
        <v>337</v>
      </c>
    </row>
    <row r="2" spans="1:13" x14ac:dyDescent="0.3">
      <c r="A2" s="425" t="s">
        <v>3832</v>
      </c>
      <c r="B2" s="342" t="s">
        <v>1040</v>
      </c>
      <c r="C2" s="426" t="s">
        <v>550</v>
      </c>
      <c r="D2" s="313" t="s">
        <v>3831</v>
      </c>
      <c r="E2" s="449">
        <v>90</v>
      </c>
      <c r="F2" s="313" t="s">
        <v>509</v>
      </c>
      <c r="G2" s="441">
        <v>44626</v>
      </c>
      <c r="H2" s="460">
        <f t="shared" ref="H2:H11" si="0">WEEKNUM(G2)</f>
        <v>11</v>
      </c>
      <c r="I2" s="311">
        <v>30</v>
      </c>
      <c r="J2" s="311">
        <v>679</v>
      </c>
      <c r="K2" s="311">
        <f t="shared" ref="K2:K11" si="1">+J2*I2</f>
        <v>20370</v>
      </c>
      <c r="L2" s="310">
        <v>44539</v>
      </c>
      <c r="M2" s="314"/>
    </row>
    <row r="3" spans="1:13" x14ac:dyDescent="0.3">
      <c r="A3" s="425" t="s">
        <v>3930</v>
      </c>
      <c r="B3" s="342" t="s">
        <v>1040</v>
      </c>
      <c r="C3" s="426" t="s">
        <v>550</v>
      </c>
      <c r="D3" s="313" t="s">
        <v>3941</v>
      </c>
      <c r="E3" s="449">
        <v>90</v>
      </c>
      <c r="F3" s="313" t="s">
        <v>1978</v>
      </c>
      <c r="G3" s="441">
        <v>44637</v>
      </c>
      <c r="H3" s="460">
        <f t="shared" si="0"/>
        <v>12</v>
      </c>
      <c r="I3" s="311">
        <v>30</v>
      </c>
      <c r="J3" s="311">
        <v>679</v>
      </c>
      <c r="K3" s="311">
        <f t="shared" si="1"/>
        <v>20370</v>
      </c>
      <c r="L3" s="310">
        <v>44549</v>
      </c>
      <c r="M3" s="314"/>
    </row>
    <row r="4" spans="1:13" x14ac:dyDescent="0.3">
      <c r="A4" s="425" t="s">
        <v>3932</v>
      </c>
      <c r="B4" s="342" t="s">
        <v>1040</v>
      </c>
      <c r="C4" s="426" t="s">
        <v>550</v>
      </c>
      <c r="D4" s="313" t="s">
        <v>3943</v>
      </c>
      <c r="E4" s="449">
        <v>90</v>
      </c>
      <c r="F4" s="313" t="s">
        <v>1978</v>
      </c>
      <c r="G4" s="441">
        <v>44654</v>
      </c>
      <c r="H4" s="460">
        <f t="shared" si="0"/>
        <v>15</v>
      </c>
      <c r="I4" s="311">
        <v>30</v>
      </c>
      <c r="J4" s="311">
        <v>719</v>
      </c>
      <c r="K4" s="311">
        <f t="shared" si="1"/>
        <v>21570</v>
      </c>
      <c r="L4" s="310">
        <v>44570</v>
      </c>
      <c r="M4" s="314"/>
    </row>
    <row r="5" spans="1:13" x14ac:dyDescent="0.3">
      <c r="A5" s="425" t="s">
        <v>3933</v>
      </c>
      <c r="B5" s="342" t="s">
        <v>1040</v>
      </c>
      <c r="C5" s="426" t="s">
        <v>550</v>
      </c>
      <c r="D5" s="313" t="s">
        <v>3956</v>
      </c>
      <c r="E5" s="449">
        <v>90</v>
      </c>
      <c r="F5" s="313" t="s">
        <v>1978</v>
      </c>
      <c r="G5" s="441">
        <v>44654</v>
      </c>
      <c r="H5" s="460">
        <f t="shared" si="0"/>
        <v>15</v>
      </c>
      <c r="I5" s="311">
        <v>30</v>
      </c>
      <c r="J5" s="311">
        <v>719</v>
      </c>
      <c r="K5" s="311">
        <f t="shared" si="1"/>
        <v>21570</v>
      </c>
      <c r="L5" s="310">
        <v>44585</v>
      </c>
      <c r="M5" s="314"/>
    </row>
    <row r="6" spans="1:13" x14ac:dyDescent="0.3">
      <c r="A6" s="425" t="s">
        <v>3934</v>
      </c>
      <c r="B6" s="342" t="s">
        <v>1040</v>
      </c>
      <c r="C6" s="426" t="s">
        <v>550</v>
      </c>
      <c r="D6" s="313" t="s">
        <v>3943</v>
      </c>
      <c r="E6" s="449">
        <v>90</v>
      </c>
      <c r="F6" s="313" t="s">
        <v>1978</v>
      </c>
      <c r="G6" s="441">
        <v>44654</v>
      </c>
      <c r="H6" s="460">
        <f t="shared" si="0"/>
        <v>15</v>
      </c>
      <c r="I6" s="311">
        <v>30</v>
      </c>
      <c r="J6" s="311">
        <v>719</v>
      </c>
      <c r="K6" s="311">
        <f t="shared" si="1"/>
        <v>21570</v>
      </c>
      <c r="L6" s="310">
        <v>44570</v>
      </c>
      <c r="M6" s="314"/>
    </row>
    <row r="7" spans="1:13" x14ac:dyDescent="0.3">
      <c r="A7" s="425" t="s">
        <v>3935</v>
      </c>
      <c r="B7" s="342" t="s">
        <v>1040</v>
      </c>
      <c r="C7" s="426" t="s">
        <v>550</v>
      </c>
      <c r="D7" s="313" t="s">
        <v>3956</v>
      </c>
      <c r="E7" s="449">
        <v>90</v>
      </c>
      <c r="F7" s="313" t="s">
        <v>1978</v>
      </c>
      <c r="G7" s="441">
        <v>44654</v>
      </c>
      <c r="H7" s="460">
        <f t="shared" si="0"/>
        <v>15</v>
      </c>
      <c r="I7" s="311">
        <v>30</v>
      </c>
      <c r="J7" s="311">
        <v>719</v>
      </c>
      <c r="K7" s="311">
        <f t="shared" si="1"/>
        <v>21570</v>
      </c>
      <c r="L7" s="310">
        <v>44585</v>
      </c>
      <c r="M7" s="314"/>
    </row>
    <row r="8" spans="1:13" ht="15" x14ac:dyDescent="0.25">
      <c r="A8" s="425" t="s">
        <v>3936</v>
      </c>
      <c r="B8" s="342" t="s">
        <v>2849</v>
      </c>
      <c r="C8" s="426" t="s">
        <v>550</v>
      </c>
      <c r="D8" s="313" t="s">
        <v>3944</v>
      </c>
      <c r="E8" s="449">
        <v>90</v>
      </c>
      <c r="F8" s="313" t="s">
        <v>1978</v>
      </c>
      <c r="G8" s="441">
        <v>44657</v>
      </c>
      <c r="H8" s="460">
        <f t="shared" si="0"/>
        <v>15</v>
      </c>
      <c r="I8" s="311">
        <v>30</v>
      </c>
      <c r="J8" s="311">
        <v>589</v>
      </c>
      <c r="K8" s="311">
        <f t="shared" si="1"/>
        <v>17670</v>
      </c>
      <c r="L8" s="310">
        <v>44574</v>
      </c>
      <c r="M8" s="314"/>
    </row>
    <row r="9" spans="1:13" ht="15" x14ac:dyDescent="0.25">
      <c r="A9" s="425" t="s">
        <v>3937</v>
      </c>
      <c r="B9" s="342" t="s">
        <v>2849</v>
      </c>
      <c r="C9" s="426" t="s">
        <v>550</v>
      </c>
      <c r="D9" s="313" t="s">
        <v>3944</v>
      </c>
      <c r="E9" s="449">
        <v>90</v>
      </c>
      <c r="F9" s="313" t="s">
        <v>1978</v>
      </c>
      <c r="G9" s="441">
        <v>44657</v>
      </c>
      <c r="H9" s="460">
        <f t="shared" si="0"/>
        <v>15</v>
      </c>
      <c r="I9" s="311">
        <v>5</v>
      </c>
      <c r="J9" s="311">
        <v>589</v>
      </c>
      <c r="K9" s="311">
        <f t="shared" si="1"/>
        <v>2945</v>
      </c>
      <c r="L9" s="310">
        <v>44574</v>
      </c>
      <c r="M9" s="314"/>
    </row>
    <row r="10" spans="1:13" ht="15" x14ac:dyDescent="0.25">
      <c r="A10" s="425" t="s">
        <v>3938</v>
      </c>
      <c r="B10" s="342" t="s">
        <v>2849</v>
      </c>
      <c r="C10" s="426" t="s">
        <v>550</v>
      </c>
      <c r="D10" s="313" t="s">
        <v>3944</v>
      </c>
      <c r="E10" s="449">
        <v>90</v>
      </c>
      <c r="F10" s="313" t="s">
        <v>1978</v>
      </c>
      <c r="G10" s="441">
        <v>44657</v>
      </c>
      <c r="H10" s="460">
        <f t="shared" si="0"/>
        <v>15</v>
      </c>
      <c r="I10" s="311">
        <v>25</v>
      </c>
      <c r="J10" s="311">
        <v>589</v>
      </c>
      <c r="K10" s="311">
        <f t="shared" si="1"/>
        <v>14725</v>
      </c>
      <c r="L10" s="310">
        <v>44574</v>
      </c>
      <c r="M10" s="314"/>
    </row>
    <row r="11" spans="1:13" ht="15" x14ac:dyDescent="0.25">
      <c r="A11" s="425" t="s">
        <v>3957</v>
      </c>
      <c r="B11" s="342" t="s">
        <v>2894</v>
      </c>
      <c r="C11" s="426" t="s">
        <v>589</v>
      </c>
      <c r="D11" s="313" t="s">
        <v>3963</v>
      </c>
      <c r="E11" s="449">
        <v>30</v>
      </c>
      <c r="F11" s="313" t="s">
        <v>1978</v>
      </c>
      <c r="G11" s="441">
        <v>44609</v>
      </c>
      <c r="H11" s="460">
        <f t="shared" si="0"/>
        <v>8</v>
      </c>
      <c r="I11" s="468">
        <v>0.82499999999999996</v>
      </c>
      <c r="J11" s="311">
        <v>40000</v>
      </c>
      <c r="K11" s="470">
        <f t="shared" si="1"/>
        <v>33000</v>
      </c>
      <c r="L11" s="310">
        <v>44585</v>
      </c>
      <c r="M11" s="314" t="s">
        <v>4050</v>
      </c>
    </row>
    <row r="12" spans="1:13" ht="15" x14ac:dyDescent="0.25">
      <c r="A12" s="425" t="s">
        <v>3957</v>
      </c>
      <c r="B12" s="342" t="s">
        <v>2894</v>
      </c>
      <c r="C12" s="426" t="s">
        <v>589</v>
      </c>
      <c r="D12" s="313" t="s">
        <v>3964</v>
      </c>
      <c r="E12" s="449">
        <v>30</v>
      </c>
      <c r="F12" s="313" t="s">
        <v>1978</v>
      </c>
      <c r="G12" s="441">
        <v>44609</v>
      </c>
      <c r="H12" s="460">
        <f t="shared" ref="H12:H14" si="2">WEEKNUM(G12)</f>
        <v>8</v>
      </c>
      <c r="I12" s="468">
        <v>0.85</v>
      </c>
      <c r="J12" s="311">
        <v>40000</v>
      </c>
      <c r="K12" s="470">
        <f t="shared" ref="K12:K14" si="3">+J12*I12</f>
        <v>34000</v>
      </c>
      <c r="L12" s="310">
        <v>44585</v>
      </c>
      <c r="M12" s="314" t="s">
        <v>4050</v>
      </c>
    </row>
    <row r="13" spans="1:13" ht="15" x14ac:dyDescent="0.25">
      <c r="A13" s="425" t="s">
        <v>3957</v>
      </c>
      <c r="B13" s="342" t="s">
        <v>2894</v>
      </c>
      <c r="C13" s="426" t="s">
        <v>589</v>
      </c>
      <c r="D13" s="313" t="s">
        <v>3965</v>
      </c>
      <c r="E13" s="449">
        <v>30</v>
      </c>
      <c r="F13" s="313" t="s">
        <v>1978</v>
      </c>
      <c r="G13" s="441">
        <v>44609</v>
      </c>
      <c r="H13" s="460">
        <f t="shared" si="2"/>
        <v>8</v>
      </c>
      <c r="I13" s="468">
        <v>0.85</v>
      </c>
      <c r="J13" s="311">
        <v>40000</v>
      </c>
      <c r="K13" s="470">
        <f t="shared" si="3"/>
        <v>34000</v>
      </c>
      <c r="L13" s="310">
        <v>44585</v>
      </c>
      <c r="M13" s="314" t="s">
        <v>4050</v>
      </c>
    </row>
    <row r="14" spans="1:13" ht="15" x14ac:dyDescent="0.25">
      <c r="A14" s="425" t="s">
        <v>3957</v>
      </c>
      <c r="B14" s="342" t="s">
        <v>2894</v>
      </c>
      <c r="C14" s="426" t="s">
        <v>589</v>
      </c>
      <c r="D14" s="313" t="s">
        <v>3966</v>
      </c>
      <c r="E14" s="449">
        <v>30</v>
      </c>
      <c r="F14" s="313" t="s">
        <v>1978</v>
      </c>
      <c r="G14" s="441">
        <v>44609</v>
      </c>
      <c r="H14" s="460">
        <f t="shared" si="2"/>
        <v>8</v>
      </c>
      <c r="I14" s="468">
        <v>0.85</v>
      </c>
      <c r="J14" s="311">
        <v>40000</v>
      </c>
      <c r="K14" s="470">
        <f t="shared" si="3"/>
        <v>34000</v>
      </c>
      <c r="L14" s="310">
        <v>44585</v>
      </c>
      <c r="M14" s="314" t="s">
        <v>4050</v>
      </c>
    </row>
    <row r="15" spans="1:13" x14ac:dyDescent="0.3">
      <c r="A15" s="425" t="s">
        <v>3958</v>
      </c>
      <c r="B15" s="342" t="s">
        <v>3960</v>
      </c>
      <c r="C15" s="426" t="s">
        <v>3131</v>
      </c>
      <c r="D15" s="313" t="s">
        <v>3984</v>
      </c>
      <c r="E15" s="449">
        <v>30</v>
      </c>
      <c r="F15" s="313" t="s">
        <v>1978</v>
      </c>
      <c r="G15" s="441">
        <v>44616</v>
      </c>
      <c r="H15" s="460">
        <f>WEEKNUM(G15)</f>
        <v>9</v>
      </c>
      <c r="I15" s="311">
        <v>36.619999999999997</v>
      </c>
      <c r="J15" s="311">
        <v>400</v>
      </c>
      <c r="K15" s="470">
        <f>+J15*I15</f>
        <v>14647.999999999998</v>
      </c>
      <c r="L15" s="310">
        <v>44587</v>
      </c>
      <c r="M15" s="314"/>
    </row>
    <row r="16" spans="1:13" x14ac:dyDescent="0.3">
      <c r="A16" s="425" t="s">
        <v>3959</v>
      </c>
      <c r="B16" s="342" t="s">
        <v>1975</v>
      </c>
      <c r="C16" s="426" t="s">
        <v>589</v>
      </c>
      <c r="D16" s="313" t="s">
        <v>3967</v>
      </c>
      <c r="E16" s="449">
        <v>30</v>
      </c>
      <c r="F16" s="313" t="s">
        <v>1978</v>
      </c>
      <c r="G16" s="441">
        <v>44609</v>
      </c>
      <c r="H16" s="460">
        <f>WEEKNUM(G16)</f>
        <v>8</v>
      </c>
      <c r="I16" s="311">
        <v>6</v>
      </c>
      <c r="J16" s="311">
        <v>3350</v>
      </c>
      <c r="K16" s="470">
        <f>+J16*I16</f>
        <v>20100</v>
      </c>
      <c r="L16" s="310">
        <v>44585</v>
      </c>
      <c r="M16" s="314"/>
    </row>
    <row r="17" spans="1:13" ht="15" x14ac:dyDescent="0.25">
      <c r="A17" s="342" t="s">
        <v>3961</v>
      </c>
      <c r="B17" s="342" t="s">
        <v>3392</v>
      </c>
      <c r="C17" s="342" t="s">
        <v>506</v>
      </c>
      <c r="D17" s="313" t="s">
        <v>3962</v>
      </c>
      <c r="E17" s="313">
        <v>60</v>
      </c>
      <c r="F17" s="313" t="s">
        <v>1978</v>
      </c>
      <c r="G17" s="441">
        <v>44642</v>
      </c>
      <c r="H17" s="460">
        <f>WEEKNUM(G17)</f>
        <v>13</v>
      </c>
      <c r="I17" s="311">
        <v>1.9750000000000001</v>
      </c>
      <c r="J17" s="311">
        <v>400</v>
      </c>
      <c r="K17" s="470">
        <f>+J17*I17</f>
        <v>790</v>
      </c>
      <c r="L17" s="310">
        <v>44585</v>
      </c>
      <c r="M17" s="314"/>
    </row>
    <row r="18" spans="1:13" ht="15" x14ac:dyDescent="0.25">
      <c r="A18" s="342" t="s">
        <v>4022</v>
      </c>
      <c r="B18" s="342" t="s">
        <v>4030</v>
      </c>
      <c r="C18" s="342" t="s">
        <v>589</v>
      </c>
      <c r="D18" s="313" t="s">
        <v>4032</v>
      </c>
      <c r="E18" s="449">
        <v>30</v>
      </c>
      <c r="F18" s="313" t="s">
        <v>1978</v>
      </c>
      <c r="G18" s="441">
        <v>44623</v>
      </c>
      <c r="H18" s="460">
        <f t="shared" ref="H18:H31" si="4">WEEKNUM(G18)</f>
        <v>10</v>
      </c>
      <c r="I18" s="311">
        <v>10.01</v>
      </c>
      <c r="J18" s="311">
        <v>3100</v>
      </c>
      <c r="K18" s="470">
        <f>+J18*I18</f>
        <v>31031</v>
      </c>
      <c r="L18" s="310">
        <v>44596</v>
      </c>
      <c r="M18" s="314"/>
    </row>
    <row r="19" spans="1:13" ht="15" x14ac:dyDescent="0.25">
      <c r="A19" s="342" t="s">
        <v>4022</v>
      </c>
      <c r="B19" s="342" t="s">
        <v>4030</v>
      </c>
      <c r="C19" s="342" t="s">
        <v>589</v>
      </c>
      <c r="D19" s="313" t="s">
        <v>4033</v>
      </c>
      <c r="E19" s="449">
        <v>30</v>
      </c>
      <c r="F19" s="313" t="s">
        <v>1978</v>
      </c>
      <c r="G19" s="441">
        <v>44623</v>
      </c>
      <c r="H19" s="460">
        <f t="shared" si="4"/>
        <v>10</v>
      </c>
      <c r="I19" s="311">
        <v>10.01</v>
      </c>
      <c r="J19" s="311">
        <v>3100</v>
      </c>
      <c r="K19" s="470">
        <f t="shared" ref="K19:K31" si="5">+J19*I19</f>
        <v>31031</v>
      </c>
      <c r="L19" s="310">
        <v>44596</v>
      </c>
      <c r="M19" s="314"/>
    </row>
    <row r="20" spans="1:13" ht="15" x14ac:dyDescent="0.25">
      <c r="A20" s="342" t="s">
        <v>4022</v>
      </c>
      <c r="B20" s="342" t="s">
        <v>4030</v>
      </c>
      <c r="C20" s="342" t="s">
        <v>589</v>
      </c>
      <c r="D20" s="313" t="s">
        <v>4034</v>
      </c>
      <c r="E20" s="449">
        <v>30</v>
      </c>
      <c r="F20" s="313" t="s">
        <v>1978</v>
      </c>
      <c r="G20" s="441">
        <v>44623</v>
      </c>
      <c r="H20" s="460">
        <f t="shared" si="4"/>
        <v>10</v>
      </c>
      <c r="I20" s="311">
        <v>10.01</v>
      </c>
      <c r="J20" s="311">
        <v>3100</v>
      </c>
      <c r="K20" s="470">
        <f t="shared" si="5"/>
        <v>31031</v>
      </c>
      <c r="L20" s="310">
        <v>44596</v>
      </c>
      <c r="M20" s="314"/>
    </row>
    <row r="21" spans="1:13" ht="15" x14ac:dyDescent="0.25">
      <c r="A21" s="342" t="s">
        <v>4022</v>
      </c>
      <c r="B21" s="342" t="s">
        <v>4030</v>
      </c>
      <c r="C21" s="342" t="s">
        <v>589</v>
      </c>
      <c r="D21" s="313" t="s">
        <v>4035</v>
      </c>
      <c r="E21" s="449">
        <v>30</v>
      </c>
      <c r="F21" s="313" t="s">
        <v>1978</v>
      </c>
      <c r="G21" s="441">
        <v>44623</v>
      </c>
      <c r="H21" s="460">
        <f t="shared" si="4"/>
        <v>10</v>
      </c>
      <c r="I21" s="311">
        <v>10.01</v>
      </c>
      <c r="J21" s="311">
        <v>3100</v>
      </c>
      <c r="K21" s="470">
        <f t="shared" si="5"/>
        <v>31031</v>
      </c>
      <c r="L21" s="310">
        <v>44596</v>
      </c>
      <c r="M21" s="314"/>
    </row>
    <row r="22" spans="1:13" ht="15" x14ac:dyDescent="0.25">
      <c r="A22" s="342" t="s">
        <v>4022</v>
      </c>
      <c r="B22" s="342" t="s">
        <v>4030</v>
      </c>
      <c r="C22" s="342" t="s">
        <v>589</v>
      </c>
      <c r="D22" s="313" t="s">
        <v>4036</v>
      </c>
      <c r="E22" s="449">
        <v>30</v>
      </c>
      <c r="F22" s="313" t="s">
        <v>1978</v>
      </c>
      <c r="G22" s="441">
        <v>44623</v>
      </c>
      <c r="H22" s="460">
        <f t="shared" si="4"/>
        <v>10</v>
      </c>
      <c r="I22" s="311">
        <v>10.01</v>
      </c>
      <c r="J22" s="311">
        <v>3100</v>
      </c>
      <c r="K22" s="470">
        <f t="shared" si="5"/>
        <v>31031</v>
      </c>
      <c r="L22" s="310">
        <v>44596</v>
      </c>
      <c r="M22" s="314"/>
    </row>
    <row r="23" spans="1:13" ht="15" x14ac:dyDescent="0.25">
      <c r="A23" s="342" t="s">
        <v>4022</v>
      </c>
      <c r="B23" s="342" t="s">
        <v>4030</v>
      </c>
      <c r="C23" s="342" t="s">
        <v>589</v>
      </c>
      <c r="D23" s="313" t="s">
        <v>4037</v>
      </c>
      <c r="E23" s="449">
        <v>30</v>
      </c>
      <c r="F23" s="313" t="s">
        <v>1978</v>
      </c>
      <c r="G23" s="441">
        <v>44623</v>
      </c>
      <c r="H23" s="460">
        <f t="shared" si="4"/>
        <v>10</v>
      </c>
      <c r="I23" s="311">
        <v>10.01</v>
      </c>
      <c r="J23" s="311">
        <v>3100</v>
      </c>
      <c r="K23" s="470">
        <f t="shared" si="5"/>
        <v>31031</v>
      </c>
      <c r="L23" s="310">
        <v>44596</v>
      </c>
      <c r="M23" s="314"/>
    </row>
    <row r="24" spans="1:13" ht="15" x14ac:dyDescent="0.25">
      <c r="A24" s="342" t="s">
        <v>4023</v>
      </c>
      <c r="B24" s="342" t="s">
        <v>4030</v>
      </c>
      <c r="C24" s="342" t="s">
        <v>589</v>
      </c>
      <c r="D24" s="313" t="s">
        <v>4038</v>
      </c>
      <c r="E24" s="449">
        <v>30</v>
      </c>
      <c r="F24" s="313" t="s">
        <v>1978</v>
      </c>
      <c r="G24" s="441">
        <v>44624</v>
      </c>
      <c r="H24" s="460">
        <f t="shared" si="4"/>
        <v>10</v>
      </c>
      <c r="I24" s="311">
        <v>9.9749999999999996</v>
      </c>
      <c r="J24" s="311">
        <v>3100</v>
      </c>
      <c r="K24" s="470">
        <f t="shared" si="5"/>
        <v>30922.5</v>
      </c>
      <c r="L24" s="310">
        <v>44600</v>
      </c>
      <c r="M24" s="314"/>
    </row>
    <row r="25" spans="1:13" ht="15" x14ac:dyDescent="0.25">
      <c r="A25" s="342" t="s">
        <v>4023</v>
      </c>
      <c r="B25" s="342" t="s">
        <v>4030</v>
      </c>
      <c r="C25" s="342" t="s">
        <v>589</v>
      </c>
      <c r="D25" s="313" t="s">
        <v>4039</v>
      </c>
      <c r="E25" s="449">
        <v>30</v>
      </c>
      <c r="F25" s="313" t="s">
        <v>1978</v>
      </c>
      <c r="G25" s="441">
        <v>44624</v>
      </c>
      <c r="H25" s="460">
        <f t="shared" si="4"/>
        <v>10</v>
      </c>
      <c r="I25" s="311">
        <v>9.9749999999999996</v>
      </c>
      <c r="J25" s="311">
        <v>3100</v>
      </c>
      <c r="K25" s="470">
        <f t="shared" si="5"/>
        <v>30922.5</v>
      </c>
      <c r="L25" s="310">
        <v>44600</v>
      </c>
      <c r="M25" s="314"/>
    </row>
    <row r="26" spans="1:13" ht="15" x14ac:dyDescent="0.25">
      <c r="A26" s="342" t="s">
        <v>4023</v>
      </c>
      <c r="B26" s="342" t="s">
        <v>4030</v>
      </c>
      <c r="C26" s="342" t="s">
        <v>589</v>
      </c>
      <c r="D26" s="313" t="s">
        <v>4040</v>
      </c>
      <c r="E26" s="449">
        <v>30</v>
      </c>
      <c r="F26" s="313" t="s">
        <v>1978</v>
      </c>
      <c r="G26" s="441">
        <v>44624</v>
      </c>
      <c r="H26" s="460">
        <f t="shared" si="4"/>
        <v>10</v>
      </c>
      <c r="I26" s="311">
        <v>10.01</v>
      </c>
      <c r="J26" s="311">
        <v>3100</v>
      </c>
      <c r="K26" s="470">
        <f t="shared" si="5"/>
        <v>31031</v>
      </c>
      <c r="L26" s="310">
        <v>44600</v>
      </c>
      <c r="M26" s="314"/>
    </row>
    <row r="27" spans="1:13" ht="15" x14ac:dyDescent="0.25">
      <c r="A27" s="342" t="s">
        <v>4024</v>
      </c>
      <c r="B27" s="342" t="s">
        <v>2030</v>
      </c>
      <c r="C27" s="342" t="s">
        <v>589</v>
      </c>
      <c r="D27" s="313" t="s">
        <v>4041</v>
      </c>
      <c r="E27" s="449">
        <v>30</v>
      </c>
      <c r="F27" s="313" t="s">
        <v>1978</v>
      </c>
      <c r="G27" s="441">
        <v>44626</v>
      </c>
      <c r="H27" s="460">
        <f t="shared" si="4"/>
        <v>11</v>
      </c>
      <c r="I27" s="311">
        <v>30</v>
      </c>
      <c r="J27" s="311">
        <v>945</v>
      </c>
      <c r="K27" s="470">
        <f t="shared" si="5"/>
        <v>28350</v>
      </c>
      <c r="L27" s="310">
        <v>44603</v>
      </c>
      <c r="M27" s="314"/>
    </row>
    <row r="28" spans="1:13" ht="15" x14ac:dyDescent="0.25">
      <c r="A28" s="342" t="s">
        <v>4025</v>
      </c>
      <c r="B28" s="342" t="s">
        <v>2030</v>
      </c>
      <c r="C28" s="342" t="s">
        <v>589</v>
      </c>
      <c r="D28" s="313" t="s">
        <v>4042</v>
      </c>
      <c r="E28" s="449">
        <v>30</v>
      </c>
      <c r="F28" s="313" t="s">
        <v>1978</v>
      </c>
      <c r="G28" s="441">
        <v>44630</v>
      </c>
      <c r="H28" s="460">
        <f t="shared" si="4"/>
        <v>11</v>
      </c>
      <c r="I28" s="311">
        <v>30</v>
      </c>
      <c r="J28" s="311">
        <v>945</v>
      </c>
      <c r="K28" s="470">
        <f t="shared" si="5"/>
        <v>28350</v>
      </c>
      <c r="L28" s="310">
        <v>44603</v>
      </c>
      <c r="M28" s="314"/>
    </row>
    <row r="29" spans="1:13" ht="15" x14ac:dyDescent="0.25">
      <c r="A29" s="342" t="s">
        <v>4026</v>
      </c>
      <c r="B29" s="342" t="s">
        <v>2030</v>
      </c>
      <c r="C29" s="342" t="s">
        <v>589</v>
      </c>
      <c r="D29" s="313" t="s">
        <v>4048</v>
      </c>
      <c r="E29" s="449">
        <v>30</v>
      </c>
      <c r="F29" s="313" t="s">
        <v>1978</v>
      </c>
      <c r="G29" s="441">
        <v>44633</v>
      </c>
      <c r="H29" s="460">
        <f t="shared" si="4"/>
        <v>12</v>
      </c>
      <c r="I29" s="311">
        <v>30</v>
      </c>
      <c r="J29" s="311">
        <v>945</v>
      </c>
      <c r="K29" s="470">
        <f t="shared" si="5"/>
        <v>28350</v>
      </c>
      <c r="L29" s="310">
        <v>44607</v>
      </c>
      <c r="M29" s="314"/>
    </row>
    <row r="30" spans="1:13" x14ac:dyDescent="0.3">
      <c r="A30" s="342" t="s">
        <v>4027</v>
      </c>
      <c r="B30" s="342" t="s">
        <v>1040</v>
      </c>
      <c r="C30" s="342" t="s">
        <v>550</v>
      </c>
      <c r="D30" s="313"/>
      <c r="E30" s="449">
        <v>90</v>
      </c>
      <c r="F30" s="313" t="s">
        <v>1978</v>
      </c>
      <c r="G30" s="433">
        <v>44692</v>
      </c>
      <c r="H30" s="460">
        <f t="shared" si="4"/>
        <v>20</v>
      </c>
      <c r="I30" s="311">
        <v>30</v>
      </c>
      <c r="J30" s="311">
        <v>729</v>
      </c>
      <c r="K30" s="470">
        <f t="shared" si="5"/>
        <v>21870</v>
      </c>
      <c r="L30" s="314"/>
      <c r="M30" s="314" t="s">
        <v>4049</v>
      </c>
    </row>
    <row r="31" spans="1:13" x14ac:dyDescent="0.3">
      <c r="A31" s="342" t="s">
        <v>4028</v>
      </c>
      <c r="B31" s="342" t="s">
        <v>4031</v>
      </c>
      <c r="C31" s="342" t="s">
        <v>4029</v>
      </c>
      <c r="D31" s="313"/>
      <c r="E31" s="449">
        <v>30</v>
      </c>
      <c r="F31" s="313" t="s">
        <v>1978</v>
      </c>
      <c r="G31" s="433">
        <v>44631</v>
      </c>
      <c r="H31" s="460">
        <f t="shared" si="4"/>
        <v>11</v>
      </c>
      <c r="I31" s="311">
        <v>30</v>
      </c>
      <c r="J31" s="311">
        <v>1250</v>
      </c>
      <c r="K31" s="470">
        <f t="shared" si="5"/>
        <v>37500</v>
      </c>
      <c r="L31" s="314"/>
      <c r="M31" s="314" t="s">
        <v>4043</v>
      </c>
    </row>
  </sheetData>
  <autoFilter ref="A1:M31"/>
  <conditionalFormatting sqref="L2">
    <cfRule type="cellIs" dxfId="1398" priority="41" operator="between">
      <formula>+TODAY()</formula>
      <formula>+HOY+10</formula>
    </cfRule>
  </conditionalFormatting>
  <conditionalFormatting sqref="H2">
    <cfRule type="cellIs" dxfId="1397" priority="43" operator="between">
      <formula>+TODAY()</formula>
      <formula>+HOY+10</formula>
    </cfRule>
  </conditionalFormatting>
  <conditionalFormatting sqref="G2">
    <cfRule type="cellIs" dxfId="1396" priority="42" operator="between">
      <formula>+TODAY()</formula>
      <formula>+HOY+10</formula>
    </cfRule>
  </conditionalFormatting>
  <conditionalFormatting sqref="G15:G16 G3:G11">
    <cfRule type="cellIs" dxfId="1395" priority="37" operator="between">
      <formula>+TODAY()</formula>
      <formula>+HOY+10</formula>
    </cfRule>
  </conditionalFormatting>
  <conditionalFormatting sqref="L3:L10">
    <cfRule type="cellIs" dxfId="1394" priority="36" operator="between">
      <formula>+TODAY()</formula>
      <formula>+HOY+10</formula>
    </cfRule>
  </conditionalFormatting>
  <conditionalFormatting sqref="H3:H11 H15:H31">
    <cfRule type="cellIs" dxfId="1393" priority="38" operator="between">
      <formula>+TODAY()</formula>
      <formula>+HOY+10</formula>
    </cfRule>
  </conditionalFormatting>
  <conditionalFormatting sqref="L17">
    <cfRule type="cellIs" dxfId="1392" priority="33" operator="between">
      <formula>+TODAY()</formula>
      <formula>+HOY+10</formula>
    </cfRule>
  </conditionalFormatting>
  <conditionalFormatting sqref="H12">
    <cfRule type="cellIs" dxfId="1391" priority="32" operator="between">
      <formula>+TODAY()</formula>
      <formula>+HOY+10</formula>
    </cfRule>
  </conditionalFormatting>
  <conditionalFormatting sqref="H13">
    <cfRule type="cellIs" dxfId="1390" priority="30" operator="between">
      <formula>+TODAY()</formula>
      <formula>+HOY+10</formula>
    </cfRule>
  </conditionalFormatting>
  <conditionalFormatting sqref="H14">
    <cfRule type="cellIs" dxfId="1389" priority="28" operator="between">
      <formula>+TODAY()</formula>
      <formula>+HOY+10</formula>
    </cfRule>
  </conditionalFormatting>
  <conditionalFormatting sqref="L11">
    <cfRule type="cellIs" dxfId="1388" priority="24" operator="between">
      <formula>+TODAY()</formula>
      <formula>+HOY+10</formula>
    </cfRule>
  </conditionalFormatting>
  <conditionalFormatting sqref="L12:L14">
    <cfRule type="cellIs" dxfId="1387" priority="23" operator="between">
      <formula>+TODAY()</formula>
      <formula>+HOY+10</formula>
    </cfRule>
  </conditionalFormatting>
  <conditionalFormatting sqref="L16">
    <cfRule type="cellIs" dxfId="1386" priority="22" operator="between">
      <formula>+TODAY()</formula>
      <formula>+HOY+10</formula>
    </cfRule>
  </conditionalFormatting>
  <conditionalFormatting sqref="G17">
    <cfRule type="cellIs" dxfId="1385" priority="21" operator="between">
      <formula>+TODAY()</formula>
      <formula>+HOY+10</formula>
    </cfRule>
  </conditionalFormatting>
  <conditionalFormatting sqref="G12:G14">
    <cfRule type="cellIs" dxfId="1384" priority="20" operator="between">
      <formula>+TODAY()</formula>
      <formula>+HOY+10</formula>
    </cfRule>
  </conditionalFormatting>
  <conditionalFormatting sqref="L15">
    <cfRule type="cellIs" dxfId="1383" priority="19" operator="between">
      <formula>+TODAY()</formula>
      <formula>+HOY+10</formula>
    </cfRule>
  </conditionalFormatting>
  <conditionalFormatting sqref="G18:G23">
    <cfRule type="cellIs" dxfId="1382" priority="16" operator="between">
      <formula>+TODAY()</formula>
      <formula>+HOY+10</formula>
    </cfRule>
  </conditionalFormatting>
  <conditionalFormatting sqref="L18">
    <cfRule type="cellIs" dxfId="1381" priority="15" operator="between">
      <formula>+TODAY()</formula>
      <formula>+HOY+10</formula>
    </cfRule>
  </conditionalFormatting>
  <conditionalFormatting sqref="L19:L23">
    <cfRule type="cellIs" dxfId="1380" priority="14" operator="between">
      <formula>+TODAY()</formula>
      <formula>+HOY+10</formula>
    </cfRule>
  </conditionalFormatting>
  <conditionalFormatting sqref="G24">
    <cfRule type="cellIs" dxfId="1379" priority="13" operator="between">
      <formula>+TODAY()</formula>
      <formula>+HOY+10</formula>
    </cfRule>
  </conditionalFormatting>
  <conditionalFormatting sqref="G25:G26">
    <cfRule type="cellIs" dxfId="1378" priority="12" operator="between">
      <formula>+TODAY()</formula>
      <formula>+HOY+10</formula>
    </cfRule>
  </conditionalFormatting>
  <conditionalFormatting sqref="L24">
    <cfRule type="cellIs" dxfId="1377" priority="11" operator="between">
      <formula>+TODAY()</formula>
      <formula>+HOY+10</formula>
    </cfRule>
  </conditionalFormatting>
  <conditionalFormatting sqref="L25:L26">
    <cfRule type="cellIs" dxfId="1376" priority="10" operator="between">
      <formula>+TODAY()</formula>
      <formula>+HOY+10</formula>
    </cfRule>
  </conditionalFormatting>
  <conditionalFormatting sqref="G27">
    <cfRule type="cellIs" dxfId="1375" priority="9" operator="between">
      <formula>+TODAY()</formula>
      <formula>+HOY+10</formula>
    </cfRule>
  </conditionalFormatting>
  <conditionalFormatting sqref="L27">
    <cfRule type="cellIs" dxfId="1374" priority="8" operator="between">
      <formula>+TODAY()</formula>
      <formula>+HOY+10</formula>
    </cfRule>
  </conditionalFormatting>
  <conditionalFormatting sqref="G28">
    <cfRule type="cellIs" dxfId="1373" priority="7" operator="between">
      <formula>+TODAY()</formula>
      <formula>+HOY+10</formula>
    </cfRule>
  </conditionalFormatting>
  <conditionalFormatting sqref="L28">
    <cfRule type="cellIs" dxfId="1372" priority="6" operator="between">
      <formula>+TODAY()</formula>
      <formula>+HOY+10</formula>
    </cfRule>
  </conditionalFormatting>
  <conditionalFormatting sqref="G30">
    <cfRule type="cellIs" dxfId="1371" priority="4" operator="between">
      <formula>+TODAY()</formula>
      <formula>+HOY+10</formula>
    </cfRule>
  </conditionalFormatting>
  <conditionalFormatting sqref="G31">
    <cfRule type="cellIs" dxfId="1370" priority="3" operator="between">
      <formula>+TODAY()</formula>
      <formula>+HOY+10</formula>
    </cfRule>
  </conditionalFormatting>
  <conditionalFormatting sqref="G29">
    <cfRule type="cellIs" dxfId="1369" priority="2" operator="between">
      <formula>+TODAY()</formula>
      <formula>+HOY+10</formula>
    </cfRule>
  </conditionalFormatting>
  <conditionalFormatting sqref="L29">
    <cfRule type="cellIs" dxfId="1368" priority="1" operator="between">
      <formula>+TODAY()</formula>
      <formula>+HOY+10</formula>
    </cfRule>
  </conditionalFormatting>
  <dataValidations count="1">
    <dataValidation type="list" allowBlank="1" showInputMessage="1" showErrorMessage="1" sqref="B2:B10 B30:B31">
      <formula1>MATERIALES</formula1>
    </dataValidation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sqref="A1:XFD1048576"/>
    </sheetView>
  </sheetViews>
  <sheetFormatPr baseColWidth="10" defaultColWidth="11.44140625" defaultRowHeight="14.4" x14ac:dyDescent="0.3"/>
  <cols>
    <col min="1" max="16384" width="11.44140625" style="10"/>
  </cols>
  <sheetData>
    <row r="1" spans="1:12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</row>
    <row r="2" spans="1:12" ht="3.75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2" x14ac:dyDescent="0.3">
      <c r="A3" s="66" t="s">
        <v>723</v>
      </c>
      <c r="B3" s="1" t="s">
        <v>359</v>
      </c>
      <c r="C3" s="82" t="s">
        <v>41</v>
      </c>
      <c r="D3" s="52" t="s">
        <v>832</v>
      </c>
      <c r="E3" s="86">
        <v>120</v>
      </c>
      <c r="F3" s="85" t="s">
        <v>20</v>
      </c>
      <c r="G3" s="80">
        <v>43382</v>
      </c>
      <c r="H3" s="9">
        <v>144</v>
      </c>
      <c r="I3" s="84">
        <v>800</v>
      </c>
      <c r="J3" s="84">
        <f>+I3*H3</f>
        <v>115200</v>
      </c>
      <c r="K3" s="87">
        <v>43383</v>
      </c>
      <c r="L3" s="93" t="s">
        <v>406</v>
      </c>
    </row>
    <row r="4" spans="1:12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2" x14ac:dyDescent="0.3">
      <c r="A5" s="49"/>
      <c r="B5" s="17" t="s">
        <v>76</v>
      </c>
      <c r="C5" s="37"/>
      <c r="D5" s="73"/>
      <c r="E5" s="37"/>
      <c r="F5" s="37"/>
      <c r="G5" s="37"/>
      <c r="H5" s="18"/>
      <c r="I5" s="18"/>
      <c r="J5" s="18"/>
      <c r="K5" s="19"/>
    </row>
    <row r="6" spans="1:12" x14ac:dyDescent="0.3">
      <c r="A6" s="49"/>
      <c r="B6" s="17" t="s">
        <v>78</v>
      </c>
      <c r="C6" s="37"/>
      <c r="D6" s="73"/>
      <c r="E6" s="37"/>
      <c r="F6" s="37"/>
      <c r="G6" s="37"/>
      <c r="H6" s="18"/>
      <c r="I6" s="59"/>
      <c r="J6" s="18"/>
      <c r="K6" s="19"/>
    </row>
    <row r="7" spans="1:12" x14ac:dyDescent="0.3">
      <c r="A7" s="49"/>
      <c r="B7" s="56" t="s">
        <v>98</v>
      </c>
      <c r="C7" s="45"/>
      <c r="D7" s="73"/>
      <c r="E7" s="37"/>
      <c r="F7" s="37"/>
      <c r="G7" s="37"/>
      <c r="H7" s="18"/>
      <c r="I7" s="18"/>
      <c r="J7" s="18"/>
      <c r="K7" s="19"/>
      <c r="L7" s="108"/>
    </row>
    <row r="8" spans="1:12" x14ac:dyDescent="0.3">
      <c r="A8" s="49"/>
      <c r="B8" s="17" t="s">
        <v>81</v>
      </c>
      <c r="C8" s="45"/>
      <c r="D8" s="73"/>
      <c r="E8" s="37"/>
      <c r="F8" s="37"/>
      <c r="G8" s="37"/>
      <c r="H8" s="18"/>
      <c r="I8" s="18"/>
      <c r="J8" s="18"/>
      <c r="K8" s="19"/>
    </row>
    <row r="9" spans="1:12" ht="15" x14ac:dyDescent="0.25">
      <c r="A9" s="49"/>
      <c r="B9" s="17" t="s">
        <v>169</v>
      </c>
      <c r="C9" s="45"/>
      <c r="D9" s="73"/>
      <c r="E9" s="37"/>
      <c r="F9" s="37"/>
      <c r="G9" s="37"/>
      <c r="H9" s="18"/>
      <c r="I9" s="18"/>
      <c r="J9" s="18"/>
      <c r="K9" s="19"/>
    </row>
    <row r="10" spans="1:12" x14ac:dyDescent="0.3">
      <c r="A10" s="49"/>
      <c r="B10" s="17" t="s">
        <v>85</v>
      </c>
      <c r="C10" s="45"/>
      <c r="D10" s="73"/>
      <c r="E10" s="37"/>
      <c r="F10" s="37"/>
      <c r="G10" s="37"/>
      <c r="H10" s="18"/>
      <c r="I10" s="18"/>
      <c r="J10" s="18"/>
      <c r="K10" s="19"/>
    </row>
    <row r="11" spans="1:12" x14ac:dyDescent="0.3">
      <c r="A11" s="49"/>
      <c r="B11" s="56" t="s">
        <v>461</v>
      </c>
      <c r="C11" s="45"/>
      <c r="D11" s="73"/>
      <c r="E11" s="37"/>
      <c r="F11" s="37"/>
      <c r="G11" s="37"/>
      <c r="H11" s="18"/>
      <c r="I11" s="18"/>
      <c r="J11" s="18"/>
      <c r="K11" s="19"/>
    </row>
    <row r="12" spans="1:12" x14ac:dyDescent="0.3">
      <c r="A12" s="49"/>
      <c r="B12" s="17" t="s">
        <v>81</v>
      </c>
      <c r="C12" s="45"/>
      <c r="D12" s="73"/>
      <c r="E12" s="37"/>
      <c r="F12" s="37"/>
      <c r="G12" s="37"/>
      <c r="H12" s="18"/>
      <c r="I12" s="18"/>
      <c r="J12" s="18"/>
      <c r="K12" s="19"/>
    </row>
    <row r="13" spans="1:12" x14ac:dyDescent="0.3">
      <c r="A13" s="49"/>
      <c r="B13" s="17" t="s">
        <v>85</v>
      </c>
      <c r="C13" s="45"/>
      <c r="D13" s="73"/>
      <c r="E13" s="37"/>
      <c r="F13" s="37"/>
      <c r="G13" s="37"/>
      <c r="H13" s="18"/>
      <c r="I13" s="18"/>
      <c r="J13" s="18"/>
      <c r="K13" s="19"/>
    </row>
    <row r="14" spans="1:12" ht="15" x14ac:dyDescent="0.25">
      <c r="A14" s="50"/>
      <c r="B14" s="21"/>
      <c r="C14" s="111"/>
      <c r="D14" s="74"/>
      <c r="E14" s="38"/>
      <c r="F14" s="38"/>
      <c r="G14" s="38"/>
      <c r="H14" s="22"/>
      <c r="I14" s="22"/>
      <c r="J14" s="22"/>
      <c r="K14" s="23"/>
      <c r="L14" s="108"/>
    </row>
    <row r="15" spans="1:12" x14ac:dyDescent="0.3">
      <c r="A15" s="66" t="s">
        <v>839</v>
      </c>
      <c r="B15" s="1" t="s">
        <v>841</v>
      </c>
      <c r="C15" s="82" t="s">
        <v>494</v>
      </c>
      <c r="D15" s="52"/>
      <c r="E15" s="86" t="s">
        <v>5</v>
      </c>
      <c r="F15" s="85"/>
      <c r="G15" s="80">
        <v>43384</v>
      </c>
      <c r="H15" s="9">
        <v>1000.5</v>
      </c>
      <c r="I15" s="84">
        <v>362</v>
      </c>
      <c r="J15" s="84">
        <f>+I15*H15</f>
        <v>362181</v>
      </c>
      <c r="K15" s="87">
        <v>43384</v>
      </c>
      <c r="L15" s="93" t="s">
        <v>406</v>
      </c>
    </row>
    <row r="16" spans="1:12" ht="18.75" x14ac:dyDescent="0.3">
      <c r="A16" s="531" t="s">
        <v>91</v>
      </c>
      <c r="B16" s="532"/>
      <c r="C16" s="13"/>
      <c r="D16" s="72"/>
      <c r="E16" s="13"/>
      <c r="F16" s="13"/>
      <c r="G16" s="13"/>
      <c r="H16" s="13"/>
      <c r="I16" s="13"/>
      <c r="J16" s="13"/>
      <c r="K16" s="14"/>
    </row>
    <row r="17" spans="1:12" x14ac:dyDescent="0.3">
      <c r="A17" s="49"/>
      <c r="B17" s="17" t="s">
        <v>76</v>
      </c>
      <c r="C17" s="37"/>
      <c r="D17" s="73"/>
      <c r="E17" s="37"/>
      <c r="F17" s="37"/>
      <c r="G17" s="37"/>
      <c r="H17" s="18"/>
      <c r="I17" s="18"/>
      <c r="J17" s="18"/>
      <c r="K17" s="19"/>
    </row>
    <row r="18" spans="1:12" x14ac:dyDescent="0.3">
      <c r="A18" s="49"/>
      <c r="B18" s="17" t="s">
        <v>78</v>
      </c>
      <c r="C18" s="37"/>
      <c r="D18" s="73"/>
      <c r="E18" s="37"/>
      <c r="F18" s="37"/>
      <c r="G18" s="37"/>
      <c r="H18" s="18"/>
      <c r="I18" s="59"/>
      <c r="J18" s="18"/>
      <c r="K18" s="19"/>
    </row>
    <row r="19" spans="1:12" x14ac:dyDescent="0.3">
      <c r="A19" s="49"/>
      <c r="B19" s="56" t="s">
        <v>98</v>
      </c>
      <c r="C19" s="45"/>
      <c r="D19" s="73"/>
      <c r="E19" s="37"/>
      <c r="F19" s="37"/>
      <c r="G19" s="37"/>
      <c r="H19" s="18"/>
      <c r="I19" s="18"/>
      <c r="J19" s="18"/>
      <c r="K19" s="19"/>
      <c r="L19" s="108"/>
    </row>
    <row r="20" spans="1:12" x14ac:dyDescent="0.3">
      <c r="A20" s="49"/>
      <c r="B20" s="17" t="s">
        <v>81</v>
      </c>
      <c r="C20" s="45"/>
      <c r="D20" s="73"/>
      <c r="E20" s="37"/>
      <c r="F20" s="37"/>
      <c r="G20" s="37"/>
      <c r="H20" s="18"/>
      <c r="I20" s="18"/>
      <c r="J20" s="18"/>
      <c r="K20" s="19"/>
    </row>
    <row r="21" spans="1:12" ht="15" x14ac:dyDescent="0.25">
      <c r="A21" s="49"/>
      <c r="B21" s="17" t="s">
        <v>169</v>
      </c>
      <c r="C21" s="45"/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85</v>
      </c>
      <c r="C22" s="45"/>
      <c r="D22" s="73"/>
      <c r="E22" s="37"/>
      <c r="F22" s="37"/>
      <c r="G22" s="37"/>
      <c r="H22" s="18"/>
      <c r="I22" s="18"/>
      <c r="J22" s="18"/>
      <c r="K22" s="19"/>
    </row>
    <row r="23" spans="1:12" x14ac:dyDescent="0.3">
      <c r="A23" s="49"/>
      <c r="B23" s="56" t="s">
        <v>461</v>
      </c>
      <c r="C23" s="45"/>
      <c r="D23" s="73"/>
      <c r="E23" s="37"/>
      <c r="F23" s="37"/>
      <c r="G23" s="37"/>
      <c r="H23" s="18"/>
      <c r="I23" s="18"/>
      <c r="J23" s="18"/>
      <c r="K23" s="19"/>
    </row>
    <row r="24" spans="1:12" x14ac:dyDescent="0.3">
      <c r="A24" s="49"/>
      <c r="B24" s="17" t="s">
        <v>81</v>
      </c>
      <c r="C24" s="45"/>
      <c r="D24" s="73"/>
      <c r="E24" s="37"/>
      <c r="F24" s="37"/>
      <c r="G24" s="37"/>
      <c r="H24" s="18"/>
      <c r="I24" s="18"/>
      <c r="J24" s="18"/>
      <c r="K24" s="19"/>
    </row>
    <row r="25" spans="1:12" x14ac:dyDescent="0.3">
      <c r="A25" s="49"/>
      <c r="B25" s="17" t="s">
        <v>85</v>
      </c>
      <c r="C25" s="45"/>
      <c r="D25" s="73"/>
      <c r="E25" s="37"/>
      <c r="F25" s="37"/>
      <c r="G25" s="37"/>
      <c r="H25" s="18"/>
      <c r="I25" s="18"/>
      <c r="J25" s="18"/>
      <c r="K25" s="19"/>
    </row>
    <row r="26" spans="1:12" ht="15" x14ac:dyDescent="0.25">
      <c r="A26" s="50"/>
      <c r="B26" s="21"/>
      <c r="C26" s="111"/>
      <c r="D26" s="74"/>
      <c r="E26" s="38"/>
      <c r="F26" s="38"/>
      <c r="G26" s="38"/>
      <c r="H26" s="22"/>
      <c r="I26" s="22"/>
      <c r="J26" s="22"/>
      <c r="K26" s="23"/>
      <c r="L26" s="108"/>
    </row>
  </sheetData>
  <mergeCells count="2">
    <mergeCell ref="A4:B4"/>
    <mergeCell ref="A16:B16"/>
  </mergeCells>
  <conditionalFormatting sqref="G15">
    <cfRule type="cellIs" dxfId="1367" priority="1" operator="between">
      <formula>TODAY()</formula>
      <formula>TODAY()+10</formula>
    </cfRule>
  </conditionalFormatting>
  <conditionalFormatting sqref="G3">
    <cfRule type="cellIs" dxfId="1366" priority="2" operator="between">
      <formula>TODAY()</formula>
      <formula>TODAY()+10</formula>
    </cfRule>
  </conditionalFormatting>
  <dataValidations count="4">
    <dataValidation type="list" allowBlank="1" showInputMessage="1" showErrorMessage="1" sqref="C14:C15 C26">
      <formula1>PROVEEDORES</formula1>
    </dataValidation>
    <dataValidation type="list" allowBlank="1" showInputMessage="1" showErrorMessage="1" sqref="E14:E15 E26">
      <formula1>PLAZOdePAGO</formula1>
    </dataValidation>
    <dataValidation type="list" allowBlank="1" showInputMessage="1" showErrorMessage="1" sqref="F14:F15 F26">
      <formula1>PLAZOdePAGO2</formula1>
    </dataValidation>
    <dataValidation type="list" allowBlank="1" showInputMessage="1" showErrorMessage="1" sqref="B15">
      <formula1>MATERIALES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2"/>
  <sheetViews>
    <sheetView showGridLines="0" topLeftCell="E1" zoomScaleNormal="100" workbookViewId="0">
      <pane ySplit="1" topLeftCell="A305" activePane="bottomLeft" state="frozen"/>
      <selection activeCell="B1" sqref="B1"/>
      <selection pane="bottomLeft" activeCell="K318" sqref="K318"/>
    </sheetView>
  </sheetViews>
  <sheetFormatPr baseColWidth="10" defaultColWidth="11.5546875" defaultRowHeight="14.4" x14ac:dyDescent="0.3"/>
  <cols>
    <col min="1" max="1" width="20.5546875" style="351" customWidth="1"/>
    <col min="2" max="2" width="42.44140625" style="351" customWidth="1"/>
    <col min="3" max="3" width="20" style="351" customWidth="1"/>
    <col min="4" max="4" width="35" style="351" customWidth="1"/>
    <col min="5" max="10" width="11.5546875" style="351"/>
    <col min="11" max="11" width="11.88671875" style="351" bestFit="1" customWidth="1"/>
    <col min="12" max="12" width="15" style="351" customWidth="1"/>
    <col min="13" max="13" width="11.5546875" style="351"/>
    <col min="14" max="14" width="66" style="351" customWidth="1"/>
    <col min="15" max="16384" width="11.5546875" style="351"/>
  </cols>
  <sheetData>
    <row r="1" spans="1:14" s="213" customFormat="1" ht="32.25" customHeight="1" x14ac:dyDescent="0.25">
      <c r="A1" s="339" t="s">
        <v>501</v>
      </c>
      <c r="B1" s="339" t="s">
        <v>1</v>
      </c>
      <c r="C1" s="339" t="s">
        <v>2</v>
      </c>
      <c r="D1" s="339" t="s">
        <v>111</v>
      </c>
      <c r="E1" s="339" t="s">
        <v>21</v>
      </c>
      <c r="F1" s="339" t="s">
        <v>22</v>
      </c>
      <c r="G1" s="340" t="s">
        <v>3</v>
      </c>
      <c r="H1" s="340"/>
      <c r="I1" s="340" t="s">
        <v>19</v>
      </c>
      <c r="J1" s="340" t="s">
        <v>23</v>
      </c>
      <c r="K1" s="340" t="s">
        <v>75</v>
      </c>
      <c r="L1" s="343" t="s">
        <v>1980</v>
      </c>
      <c r="M1" s="343" t="s">
        <v>2142</v>
      </c>
      <c r="N1" s="340" t="s">
        <v>337</v>
      </c>
    </row>
    <row r="2" spans="1:14" x14ac:dyDescent="0.3">
      <c r="A2" s="124" t="s">
        <v>1942</v>
      </c>
      <c r="B2" s="124" t="s">
        <v>530</v>
      </c>
      <c r="C2" s="124" t="s">
        <v>506</v>
      </c>
      <c r="D2" s="125" t="s">
        <v>1943</v>
      </c>
      <c r="E2" s="125">
        <v>45</v>
      </c>
      <c r="F2" s="125" t="s">
        <v>509</v>
      </c>
      <c r="G2" s="310">
        <v>44114</v>
      </c>
      <c r="H2" s="462">
        <f t="shared" ref="H2:H65" si="0">WEEKNUM(G2)</f>
        <v>41</v>
      </c>
      <c r="I2" s="312">
        <v>38</v>
      </c>
      <c r="J2" s="312">
        <v>162</v>
      </c>
      <c r="K2" s="311">
        <f t="shared" ref="K2:K65" si="1">+I2*J2</f>
        <v>6156</v>
      </c>
      <c r="L2" s="327">
        <v>44077</v>
      </c>
      <c r="M2" s="310">
        <v>44119</v>
      </c>
      <c r="N2" s="329"/>
    </row>
    <row r="3" spans="1:14" x14ac:dyDescent="0.3">
      <c r="A3" s="124" t="s">
        <v>1944</v>
      </c>
      <c r="B3" s="124" t="s">
        <v>530</v>
      </c>
      <c r="C3" s="124" t="s">
        <v>506</v>
      </c>
      <c r="D3" s="125" t="s">
        <v>1961</v>
      </c>
      <c r="E3" s="125">
        <v>45</v>
      </c>
      <c r="F3" s="125" t="s">
        <v>509</v>
      </c>
      <c r="G3" s="310">
        <v>44114</v>
      </c>
      <c r="H3" s="462">
        <f t="shared" si="0"/>
        <v>41</v>
      </c>
      <c r="I3" s="312">
        <v>38</v>
      </c>
      <c r="J3" s="312">
        <v>162</v>
      </c>
      <c r="K3" s="311">
        <f t="shared" si="1"/>
        <v>6156</v>
      </c>
      <c r="L3" s="327">
        <v>44077</v>
      </c>
      <c r="M3" s="310">
        <v>44119</v>
      </c>
      <c r="N3" s="329"/>
    </row>
    <row r="4" spans="1:14" x14ac:dyDescent="0.3">
      <c r="A4" s="124" t="s">
        <v>1945</v>
      </c>
      <c r="B4" s="124" t="s">
        <v>530</v>
      </c>
      <c r="C4" s="124" t="s">
        <v>506</v>
      </c>
      <c r="D4" s="125" t="s">
        <v>1962</v>
      </c>
      <c r="E4" s="125">
        <v>45</v>
      </c>
      <c r="F4" s="125" t="s">
        <v>509</v>
      </c>
      <c r="G4" s="310">
        <v>44119</v>
      </c>
      <c r="H4" s="462">
        <f t="shared" si="0"/>
        <v>42</v>
      </c>
      <c r="I4" s="312">
        <v>17</v>
      </c>
      <c r="J4" s="312">
        <v>162</v>
      </c>
      <c r="K4" s="311">
        <f t="shared" si="1"/>
        <v>2754</v>
      </c>
      <c r="L4" s="327">
        <v>44077</v>
      </c>
      <c r="M4" s="310">
        <v>44119</v>
      </c>
      <c r="N4" s="329"/>
    </row>
    <row r="5" spans="1:14" x14ac:dyDescent="0.3">
      <c r="A5" s="124" t="s">
        <v>514</v>
      </c>
      <c r="B5" s="124" t="s">
        <v>1946</v>
      </c>
      <c r="C5" s="124" t="s">
        <v>506</v>
      </c>
      <c r="D5" s="125" t="s">
        <v>1959</v>
      </c>
      <c r="E5" s="125">
        <v>45</v>
      </c>
      <c r="F5" s="125" t="s">
        <v>509</v>
      </c>
      <c r="G5" s="310">
        <v>44113</v>
      </c>
      <c r="H5" s="462">
        <f t="shared" si="0"/>
        <v>41</v>
      </c>
      <c r="I5" s="312">
        <v>15.725</v>
      </c>
      <c r="J5" s="315">
        <v>594</v>
      </c>
      <c r="K5" s="311">
        <f t="shared" si="1"/>
        <v>9340.65</v>
      </c>
      <c r="L5" s="327">
        <v>44077</v>
      </c>
      <c r="M5" s="310">
        <v>44119</v>
      </c>
      <c r="N5" s="329" t="s">
        <v>2219</v>
      </c>
    </row>
    <row r="6" spans="1:14" x14ac:dyDescent="0.3">
      <c r="A6" s="124" t="s">
        <v>514</v>
      </c>
      <c r="B6" s="124" t="s">
        <v>1946</v>
      </c>
      <c r="C6" s="124" t="s">
        <v>506</v>
      </c>
      <c r="D6" s="125" t="s">
        <v>1960</v>
      </c>
      <c r="E6" s="125">
        <v>45</v>
      </c>
      <c r="F6" s="125" t="s">
        <v>509</v>
      </c>
      <c r="G6" s="310">
        <v>44113</v>
      </c>
      <c r="H6" s="462">
        <f t="shared" si="0"/>
        <v>41</v>
      </c>
      <c r="I6" s="312">
        <v>0.25</v>
      </c>
      <c r="J6" s="315">
        <v>597</v>
      </c>
      <c r="K6" s="311">
        <f t="shared" si="1"/>
        <v>149.25</v>
      </c>
      <c r="L6" s="327">
        <v>44077</v>
      </c>
      <c r="M6" s="310">
        <v>44119</v>
      </c>
      <c r="N6" s="329" t="s">
        <v>2219</v>
      </c>
    </row>
    <row r="7" spans="1:14" x14ac:dyDescent="0.3">
      <c r="A7" s="124" t="s">
        <v>1971</v>
      </c>
      <c r="B7" s="124" t="s">
        <v>504</v>
      </c>
      <c r="C7" s="124" t="s">
        <v>1836</v>
      </c>
      <c r="D7" s="125" t="s">
        <v>2019</v>
      </c>
      <c r="E7" s="125">
        <v>30</v>
      </c>
      <c r="F7" s="125" t="s">
        <v>509</v>
      </c>
      <c r="G7" s="310">
        <v>44111</v>
      </c>
      <c r="H7" s="462">
        <f t="shared" si="0"/>
        <v>41</v>
      </c>
      <c r="I7" s="312">
        <v>30</v>
      </c>
      <c r="J7" s="312">
        <v>1900</v>
      </c>
      <c r="K7" s="311">
        <f t="shared" si="1"/>
        <v>57000</v>
      </c>
      <c r="L7" s="327">
        <v>44082</v>
      </c>
      <c r="M7" s="327">
        <v>44119</v>
      </c>
      <c r="N7" s="329"/>
    </row>
    <row r="8" spans="1:14" x14ac:dyDescent="0.3">
      <c r="A8" s="124" t="s">
        <v>2024</v>
      </c>
      <c r="B8" s="124" t="s">
        <v>2030</v>
      </c>
      <c r="C8" s="124" t="s">
        <v>589</v>
      </c>
      <c r="D8" s="125" t="s">
        <v>2047</v>
      </c>
      <c r="E8" s="125">
        <v>30</v>
      </c>
      <c r="F8" s="125" t="s">
        <v>509</v>
      </c>
      <c r="G8" s="310">
        <v>44120</v>
      </c>
      <c r="H8" s="462">
        <f t="shared" si="0"/>
        <v>42</v>
      </c>
      <c r="I8" s="312">
        <v>30</v>
      </c>
      <c r="J8" s="312">
        <v>570</v>
      </c>
      <c r="K8" s="311">
        <f t="shared" si="1"/>
        <v>17100</v>
      </c>
      <c r="L8" s="327">
        <v>44091</v>
      </c>
      <c r="M8" s="327">
        <v>44119</v>
      </c>
      <c r="N8" s="329"/>
    </row>
    <row r="9" spans="1:14" x14ac:dyDescent="0.3">
      <c r="A9" s="124" t="s">
        <v>2028</v>
      </c>
      <c r="B9" s="124" t="s">
        <v>2033</v>
      </c>
      <c r="C9" s="124" t="s">
        <v>1511</v>
      </c>
      <c r="D9" s="125" t="s">
        <v>2050</v>
      </c>
      <c r="E9" s="125">
        <v>30</v>
      </c>
      <c r="F9" s="125" t="s">
        <v>1978</v>
      </c>
      <c r="G9" s="310">
        <v>44120</v>
      </c>
      <c r="H9" s="462">
        <f t="shared" si="0"/>
        <v>42</v>
      </c>
      <c r="I9" s="312">
        <v>1350</v>
      </c>
      <c r="J9" s="312">
        <v>5.45</v>
      </c>
      <c r="K9" s="311">
        <f t="shared" si="1"/>
        <v>7357.5</v>
      </c>
      <c r="L9" s="327">
        <v>44091</v>
      </c>
      <c r="M9" s="327">
        <v>44119</v>
      </c>
      <c r="N9" s="329"/>
    </row>
    <row r="10" spans="1:14" s="129" customFormat="1" x14ac:dyDescent="0.3">
      <c r="A10" s="124" t="s">
        <v>1974</v>
      </c>
      <c r="B10" s="124" t="s">
        <v>1975</v>
      </c>
      <c r="C10" s="124" t="s">
        <v>589</v>
      </c>
      <c r="D10" s="125" t="s">
        <v>2020</v>
      </c>
      <c r="E10" s="125">
        <v>30</v>
      </c>
      <c r="F10" s="125" t="s">
        <v>509</v>
      </c>
      <c r="G10" s="310">
        <v>44112</v>
      </c>
      <c r="H10" s="462">
        <f t="shared" si="0"/>
        <v>41</v>
      </c>
      <c r="I10" s="312">
        <v>4</v>
      </c>
      <c r="J10" s="312">
        <v>790</v>
      </c>
      <c r="K10" s="311">
        <f t="shared" si="1"/>
        <v>3160</v>
      </c>
      <c r="L10" s="327">
        <v>44084</v>
      </c>
      <c r="M10" s="327">
        <v>44111</v>
      </c>
      <c r="N10" s="329"/>
    </row>
    <row r="11" spans="1:14" s="129" customFormat="1" x14ac:dyDescent="0.3">
      <c r="A11" s="124" t="s">
        <v>1976</v>
      </c>
      <c r="B11" s="124" t="s">
        <v>1977</v>
      </c>
      <c r="C11" s="124" t="s">
        <v>589</v>
      </c>
      <c r="D11" s="125" t="s">
        <v>2021</v>
      </c>
      <c r="E11" s="125">
        <v>30</v>
      </c>
      <c r="F11" s="125" t="s">
        <v>509</v>
      </c>
      <c r="G11" s="310">
        <v>44112</v>
      </c>
      <c r="H11" s="462">
        <f t="shared" si="0"/>
        <v>41</v>
      </c>
      <c r="I11" s="312">
        <v>6</v>
      </c>
      <c r="J11" s="312">
        <v>3000</v>
      </c>
      <c r="K11" s="311">
        <f t="shared" si="1"/>
        <v>18000</v>
      </c>
      <c r="L11" s="327">
        <v>44084</v>
      </c>
      <c r="M11" s="327">
        <v>44111</v>
      </c>
      <c r="N11" s="329"/>
    </row>
    <row r="12" spans="1:14" x14ac:dyDescent="0.3">
      <c r="A12" s="124" t="s">
        <v>2025</v>
      </c>
      <c r="B12" s="124" t="s">
        <v>2030</v>
      </c>
      <c r="C12" s="124" t="s">
        <v>589</v>
      </c>
      <c r="D12" s="125" t="s">
        <v>2100</v>
      </c>
      <c r="E12" s="125">
        <v>30</v>
      </c>
      <c r="F12" s="125" t="s">
        <v>509</v>
      </c>
      <c r="G12" s="310">
        <v>44128</v>
      </c>
      <c r="H12" s="462">
        <f t="shared" si="0"/>
        <v>43</v>
      </c>
      <c r="I12" s="312">
        <v>30</v>
      </c>
      <c r="J12" s="312">
        <v>570</v>
      </c>
      <c r="K12" s="311">
        <f t="shared" si="1"/>
        <v>17100</v>
      </c>
      <c r="L12" s="327">
        <v>44099</v>
      </c>
      <c r="M12" s="310">
        <v>44126</v>
      </c>
      <c r="N12" s="329"/>
    </row>
    <row r="13" spans="1:14" s="129" customFormat="1" x14ac:dyDescent="0.3">
      <c r="A13" s="124" t="s">
        <v>1911</v>
      </c>
      <c r="B13" s="124" t="s">
        <v>1692</v>
      </c>
      <c r="C13" s="124" t="s">
        <v>1511</v>
      </c>
      <c r="D13" s="125" t="s">
        <v>2143</v>
      </c>
      <c r="E13" s="125" t="s">
        <v>5</v>
      </c>
      <c r="F13" s="329"/>
      <c r="G13" s="310">
        <v>44110</v>
      </c>
      <c r="H13" s="462">
        <f t="shared" si="0"/>
        <v>41</v>
      </c>
      <c r="I13" s="312">
        <v>31.5</v>
      </c>
      <c r="J13" s="312">
        <v>79.209999999999994</v>
      </c>
      <c r="K13" s="311">
        <f t="shared" si="1"/>
        <v>2495.1149999999998</v>
      </c>
      <c r="L13" s="327">
        <v>44113</v>
      </c>
      <c r="M13" s="310">
        <v>44126</v>
      </c>
      <c r="N13" s="329"/>
    </row>
    <row r="14" spans="1:14" s="129" customFormat="1" x14ac:dyDescent="0.3">
      <c r="A14" s="124" t="s">
        <v>1947</v>
      </c>
      <c r="B14" s="124" t="s">
        <v>1692</v>
      </c>
      <c r="C14" s="124" t="s">
        <v>1511</v>
      </c>
      <c r="D14" s="125" t="s">
        <v>2144</v>
      </c>
      <c r="E14" s="125" t="s">
        <v>5</v>
      </c>
      <c r="F14" s="125"/>
      <c r="G14" s="310">
        <v>44110</v>
      </c>
      <c r="H14" s="462">
        <f t="shared" si="0"/>
        <v>41</v>
      </c>
      <c r="I14" s="312">
        <v>15.75</v>
      </c>
      <c r="J14" s="312">
        <v>79.209999999999994</v>
      </c>
      <c r="K14" s="311">
        <f t="shared" si="1"/>
        <v>1247.5574999999999</v>
      </c>
      <c r="L14" s="327">
        <v>44113</v>
      </c>
      <c r="M14" s="310">
        <v>44126</v>
      </c>
      <c r="N14" s="329"/>
    </row>
    <row r="15" spans="1:14" s="129" customFormat="1" x14ac:dyDescent="0.3">
      <c r="A15" s="124" t="s">
        <v>1972</v>
      </c>
      <c r="B15" s="124" t="s">
        <v>1973</v>
      </c>
      <c r="C15" s="124" t="s">
        <v>1511</v>
      </c>
      <c r="D15" s="125" t="s">
        <v>2145</v>
      </c>
      <c r="E15" s="125" t="s">
        <v>5</v>
      </c>
      <c r="F15" s="329"/>
      <c r="G15" s="310">
        <v>44110</v>
      </c>
      <c r="H15" s="462">
        <f t="shared" si="0"/>
        <v>41</v>
      </c>
      <c r="I15" s="312">
        <v>31.5</v>
      </c>
      <c r="J15" s="312">
        <v>79.209999999999994</v>
      </c>
      <c r="K15" s="311">
        <f t="shared" si="1"/>
        <v>2495.1149999999998</v>
      </c>
      <c r="L15" s="327">
        <v>44113</v>
      </c>
      <c r="M15" s="310">
        <v>44126</v>
      </c>
      <c r="N15" s="329"/>
    </row>
    <row r="16" spans="1:14" s="129" customFormat="1" x14ac:dyDescent="0.3">
      <c r="A16" s="124" t="s">
        <v>2023</v>
      </c>
      <c r="B16" s="124" t="s">
        <v>1692</v>
      </c>
      <c r="C16" s="124" t="s">
        <v>1511</v>
      </c>
      <c r="D16" s="125" t="s">
        <v>2146</v>
      </c>
      <c r="E16" s="125" t="s">
        <v>5</v>
      </c>
      <c r="F16" s="125"/>
      <c r="G16" s="310">
        <v>44110</v>
      </c>
      <c r="H16" s="462">
        <f t="shared" si="0"/>
        <v>41</v>
      </c>
      <c r="I16" s="312">
        <v>31.5</v>
      </c>
      <c r="J16" s="312">
        <v>79.209999999999994</v>
      </c>
      <c r="K16" s="311">
        <f t="shared" si="1"/>
        <v>2495.1149999999998</v>
      </c>
      <c r="L16" s="327">
        <v>44113</v>
      </c>
      <c r="M16" s="310">
        <v>44126</v>
      </c>
      <c r="N16" s="329"/>
    </row>
    <row r="17" spans="1:14" s="129" customFormat="1" x14ac:dyDescent="0.3">
      <c r="A17" s="124" t="s">
        <v>2052</v>
      </c>
      <c r="B17" s="124" t="s">
        <v>1692</v>
      </c>
      <c r="C17" s="124" t="s">
        <v>1511</v>
      </c>
      <c r="D17" s="125" t="s">
        <v>2147</v>
      </c>
      <c r="E17" s="125" t="s">
        <v>5</v>
      </c>
      <c r="F17" s="125"/>
      <c r="G17" s="310">
        <v>44110</v>
      </c>
      <c r="H17" s="462">
        <f t="shared" si="0"/>
        <v>41</v>
      </c>
      <c r="I17" s="312">
        <v>31.5</v>
      </c>
      <c r="J17" s="312">
        <v>79.209999999999994</v>
      </c>
      <c r="K17" s="311">
        <f t="shared" si="1"/>
        <v>2495.1149999999998</v>
      </c>
      <c r="L17" s="327">
        <v>44113</v>
      </c>
      <c r="M17" s="310">
        <v>44126</v>
      </c>
      <c r="N17" s="329"/>
    </row>
    <row r="18" spans="1:14" s="129" customFormat="1" x14ac:dyDescent="0.3">
      <c r="A18" s="124" t="s">
        <v>2059</v>
      </c>
      <c r="B18" s="124" t="s">
        <v>1692</v>
      </c>
      <c r="C18" s="124" t="s">
        <v>1511</v>
      </c>
      <c r="D18" s="125" t="s">
        <v>2148</v>
      </c>
      <c r="E18" s="125" t="s">
        <v>5</v>
      </c>
      <c r="F18" s="125"/>
      <c r="G18" s="310">
        <v>44110</v>
      </c>
      <c r="H18" s="462">
        <f t="shared" si="0"/>
        <v>41</v>
      </c>
      <c r="I18" s="312">
        <v>15.75</v>
      </c>
      <c r="J18" s="312">
        <v>79.209999999999994</v>
      </c>
      <c r="K18" s="311">
        <f t="shared" si="1"/>
        <v>1247.5574999999999</v>
      </c>
      <c r="L18" s="327">
        <v>44113</v>
      </c>
      <c r="M18" s="310">
        <v>44126</v>
      </c>
      <c r="N18" s="329"/>
    </row>
    <row r="19" spans="1:14" s="129" customFormat="1" x14ac:dyDescent="0.3">
      <c r="A19" s="124" t="s">
        <v>2151</v>
      </c>
      <c r="B19" s="124" t="s">
        <v>2061</v>
      </c>
      <c r="C19" s="124" t="s">
        <v>1511</v>
      </c>
      <c r="D19" s="125" t="s">
        <v>2215</v>
      </c>
      <c r="E19" s="125">
        <v>7</v>
      </c>
      <c r="F19" s="125" t="s">
        <v>509</v>
      </c>
      <c r="G19" s="310">
        <v>44118</v>
      </c>
      <c r="H19" s="462">
        <f t="shared" si="0"/>
        <v>42</v>
      </c>
      <c r="I19" s="312">
        <v>160</v>
      </c>
      <c r="J19" s="312">
        <v>2.5</v>
      </c>
      <c r="K19" s="311">
        <f t="shared" si="1"/>
        <v>400</v>
      </c>
      <c r="L19" s="327">
        <v>44117</v>
      </c>
      <c r="M19" s="310">
        <v>44126</v>
      </c>
      <c r="N19" s="329"/>
    </row>
    <row r="20" spans="1:14" s="129" customFormat="1" x14ac:dyDescent="0.3">
      <c r="A20" s="124" t="s">
        <v>2152</v>
      </c>
      <c r="B20" s="124" t="s">
        <v>2065</v>
      </c>
      <c r="C20" s="124" t="s">
        <v>1511</v>
      </c>
      <c r="D20" s="125" t="s">
        <v>2216</v>
      </c>
      <c r="E20" s="125">
        <v>7</v>
      </c>
      <c r="F20" s="125" t="s">
        <v>509</v>
      </c>
      <c r="G20" s="310">
        <v>44118</v>
      </c>
      <c r="H20" s="462">
        <f t="shared" si="0"/>
        <v>42</v>
      </c>
      <c r="I20" s="312">
        <v>150</v>
      </c>
      <c r="J20" s="312">
        <v>5.18</v>
      </c>
      <c r="K20" s="311">
        <f t="shared" si="1"/>
        <v>777</v>
      </c>
      <c r="L20" s="327">
        <v>44117</v>
      </c>
      <c r="M20" s="310">
        <v>44126</v>
      </c>
      <c r="N20" s="329"/>
    </row>
    <row r="21" spans="1:14" s="129" customFormat="1" ht="15" x14ac:dyDescent="0.25">
      <c r="A21" s="124" t="s">
        <v>2029</v>
      </c>
      <c r="B21" s="124" t="s">
        <v>2034</v>
      </c>
      <c r="C21" s="124" t="s">
        <v>506</v>
      </c>
      <c r="D21" s="125" t="s">
        <v>2057</v>
      </c>
      <c r="E21" s="125">
        <v>45</v>
      </c>
      <c r="F21" s="125" t="s">
        <v>1978</v>
      </c>
      <c r="G21" s="310">
        <v>44134</v>
      </c>
      <c r="H21" s="462">
        <f t="shared" si="0"/>
        <v>44</v>
      </c>
      <c r="I21" s="312">
        <v>30</v>
      </c>
      <c r="J21" s="312">
        <v>310</v>
      </c>
      <c r="K21" s="311">
        <f t="shared" si="1"/>
        <v>9300</v>
      </c>
      <c r="L21" s="327">
        <v>44092</v>
      </c>
      <c r="M21" s="310">
        <v>44133</v>
      </c>
      <c r="N21" s="329"/>
    </row>
    <row r="22" spans="1:14" s="129" customFormat="1" x14ac:dyDescent="0.3">
      <c r="A22" s="124" t="s">
        <v>2156</v>
      </c>
      <c r="B22" s="124" t="s">
        <v>2202</v>
      </c>
      <c r="C22" s="124" t="s">
        <v>1842</v>
      </c>
      <c r="D22" s="125" t="s">
        <v>2213</v>
      </c>
      <c r="E22" s="125">
        <v>15</v>
      </c>
      <c r="F22" s="125" t="s">
        <v>509</v>
      </c>
      <c r="G22" s="310">
        <v>44134</v>
      </c>
      <c r="H22" s="462">
        <f t="shared" si="0"/>
        <v>44</v>
      </c>
      <c r="I22" s="311">
        <v>240</v>
      </c>
      <c r="J22" s="311">
        <v>310</v>
      </c>
      <c r="K22" s="311">
        <f t="shared" si="1"/>
        <v>74400</v>
      </c>
      <c r="L22" s="327">
        <v>44123</v>
      </c>
      <c r="M22" s="310">
        <v>44133</v>
      </c>
      <c r="N22" s="329"/>
    </row>
    <row r="23" spans="1:14" s="129" customFormat="1" x14ac:dyDescent="0.3">
      <c r="A23" s="124" t="s">
        <v>2201</v>
      </c>
      <c r="B23" s="124" t="s">
        <v>2051</v>
      </c>
      <c r="C23" s="124" t="s">
        <v>1842</v>
      </c>
      <c r="D23" s="125" t="s">
        <v>2214</v>
      </c>
      <c r="E23" s="125">
        <v>15</v>
      </c>
      <c r="F23" s="125" t="s">
        <v>509</v>
      </c>
      <c r="G23" s="310">
        <v>44134</v>
      </c>
      <c r="H23" s="462">
        <f t="shared" si="0"/>
        <v>44</v>
      </c>
      <c r="I23" s="311">
        <v>200</v>
      </c>
      <c r="J23" s="311">
        <v>405</v>
      </c>
      <c r="K23" s="311">
        <f t="shared" si="1"/>
        <v>81000</v>
      </c>
      <c r="L23" s="327">
        <v>44123</v>
      </c>
      <c r="M23" s="310">
        <v>44133</v>
      </c>
      <c r="N23" s="329"/>
    </row>
    <row r="24" spans="1:14" s="129" customFormat="1" x14ac:dyDescent="0.3">
      <c r="A24" s="331" t="s">
        <v>2237</v>
      </c>
      <c r="B24" s="124" t="s">
        <v>2051</v>
      </c>
      <c r="C24" s="124" t="s">
        <v>1842</v>
      </c>
      <c r="D24" s="125" t="s">
        <v>2239</v>
      </c>
      <c r="E24" s="125">
        <v>15</v>
      </c>
      <c r="F24" s="125" t="s">
        <v>1978</v>
      </c>
      <c r="G24" s="310">
        <v>44136</v>
      </c>
      <c r="H24" s="462">
        <f t="shared" si="0"/>
        <v>45</v>
      </c>
      <c r="I24" s="311">
        <v>9.7799999999999994</v>
      </c>
      <c r="J24" s="311">
        <v>405</v>
      </c>
      <c r="K24" s="311">
        <f t="shared" si="1"/>
        <v>3960.8999999999996</v>
      </c>
      <c r="L24" s="327">
        <v>44123</v>
      </c>
      <c r="M24" s="310">
        <v>44133</v>
      </c>
      <c r="N24" s="329"/>
    </row>
    <row r="25" spans="1:14" x14ac:dyDescent="0.3">
      <c r="A25" s="124" t="s">
        <v>2299</v>
      </c>
      <c r="B25" s="124" t="s">
        <v>2030</v>
      </c>
      <c r="C25" s="124" t="s">
        <v>589</v>
      </c>
      <c r="D25" s="125" t="s">
        <v>2217</v>
      </c>
      <c r="E25" s="125">
        <v>30</v>
      </c>
      <c r="F25" s="125" t="s">
        <v>509</v>
      </c>
      <c r="G25" s="310">
        <v>44146</v>
      </c>
      <c r="H25" s="462">
        <f t="shared" si="0"/>
        <v>46</v>
      </c>
      <c r="I25" s="312">
        <v>30</v>
      </c>
      <c r="J25" s="312">
        <v>570</v>
      </c>
      <c r="K25" s="311">
        <f t="shared" si="1"/>
        <v>17100</v>
      </c>
      <c r="L25" s="327">
        <v>44117</v>
      </c>
      <c r="M25" s="310">
        <v>44141</v>
      </c>
      <c r="N25" s="329"/>
    </row>
    <row r="26" spans="1:14" x14ac:dyDescent="0.3">
      <c r="A26" s="124" t="s">
        <v>2155</v>
      </c>
      <c r="B26" s="124" t="s">
        <v>504</v>
      </c>
      <c r="C26" s="124" t="s">
        <v>1836</v>
      </c>
      <c r="D26" s="125" t="s">
        <v>2218</v>
      </c>
      <c r="E26" s="125">
        <v>30</v>
      </c>
      <c r="F26" s="125" t="s">
        <v>509</v>
      </c>
      <c r="G26" s="310">
        <v>44147</v>
      </c>
      <c r="H26" s="462">
        <f t="shared" si="0"/>
        <v>46</v>
      </c>
      <c r="I26" s="312">
        <v>15</v>
      </c>
      <c r="J26" s="312">
        <v>1900</v>
      </c>
      <c r="K26" s="311">
        <f t="shared" si="1"/>
        <v>28500</v>
      </c>
      <c r="L26" s="327">
        <v>44118</v>
      </c>
      <c r="M26" s="310">
        <v>44147</v>
      </c>
      <c r="N26" s="329"/>
    </row>
    <row r="27" spans="1:14" s="129" customFormat="1" x14ac:dyDescent="0.3">
      <c r="A27" s="124" t="s">
        <v>2160</v>
      </c>
      <c r="B27" s="124" t="s">
        <v>2203</v>
      </c>
      <c r="C27" s="124" t="s">
        <v>1511</v>
      </c>
      <c r="D27" s="125" t="s">
        <v>2349</v>
      </c>
      <c r="E27" s="125" t="s">
        <v>5</v>
      </c>
      <c r="F27" s="125"/>
      <c r="G27" s="310">
        <v>44138</v>
      </c>
      <c r="H27" s="462">
        <f t="shared" si="0"/>
        <v>45</v>
      </c>
      <c r="I27" s="311">
        <v>2299</v>
      </c>
      <c r="J27" s="311">
        <v>4.0999999999999996</v>
      </c>
      <c r="K27" s="311">
        <f t="shared" si="1"/>
        <v>9425.9</v>
      </c>
      <c r="L27" s="327">
        <v>44134</v>
      </c>
      <c r="M27" s="310">
        <v>44147</v>
      </c>
      <c r="N27" s="329"/>
    </row>
    <row r="28" spans="1:14" s="129" customFormat="1" x14ac:dyDescent="0.3">
      <c r="A28" s="331" t="s">
        <v>2286</v>
      </c>
      <c r="B28" s="124" t="s">
        <v>2210</v>
      </c>
      <c r="C28" s="124" t="s">
        <v>1511</v>
      </c>
      <c r="D28" s="125" t="s">
        <v>2306</v>
      </c>
      <c r="E28" s="125">
        <v>120</v>
      </c>
      <c r="F28" s="125" t="s">
        <v>1978</v>
      </c>
      <c r="G28" s="310">
        <v>44253</v>
      </c>
      <c r="H28" s="462">
        <f t="shared" si="0"/>
        <v>9</v>
      </c>
      <c r="I28" s="311">
        <v>1080</v>
      </c>
      <c r="J28" s="311">
        <v>7.43</v>
      </c>
      <c r="K28" s="311">
        <f t="shared" si="1"/>
        <v>8024.4</v>
      </c>
      <c r="L28" s="327">
        <v>44133</v>
      </c>
      <c r="M28" s="310">
        <v>44147</v>
      </c>
      <c r="N28" s="329"/>
    </row>
    <row r="29" spans="1:14" ht="15" x14ac:dyDescent="0.25">
      <c r="A29" s="338" t="s">
        <v>2155</v>
      </c>
      <c r="B29" s="338" t="s">
        <v>504</v>
      </c>
      <c r="C29" s="124" t="s">
        <v>1836</v>
      </c>
      <c r="D29" s="327" t="s">
        <v>2395</v>
      </c>
      <c r="E29" s="125">
        <v>30</v>
      </c>
      <c r="F29" s="125" t="s">
        <v>1978</v>
      </c>
      <c r="G29" s="310">
        <v>44151</v>
      </c>
      <c r="H29" s="462">
        <f t="shared" si="0"/>
        <v>47</v>
      </c>
      <c r="I29" s="312">
        <v>15</v>
      </c>
      <c r="J29" s="312">
        <v>1900</v>
      </c>
      <c r="K29" s="311">
        <f t="shared" si="1"/>
        <v>28500</v>
      </c>
      <c r="L29" s="327">
        <v>44123</v>
      </c>
      <c r="M29" s="327">
        <v>44154</v>
      </c>
      <c r="N29" s="329"/>
    </row>
    <row r="30" spans="1:14" s="129" customFormat="1" x14ac:dyDescent="0.3">
      <c r="A30" s="124" t="s">
        <v>2064</v>
      </c>
      <c r="B30" s="124" t="s">
        <v>2065</v>
      </c>
      <c r="C30" s="124" t="s">
        <v>1511</v>
      </c>
      <c r="D30" s="125" t="s">
        <v>2103</v>
      </c>
      <c r="E30" s="125" t="s">
        <v>5</v>
      </c>
      <c r="F30" s="125"/>
      <c r="G30" s="310">
        <v>44100</v>
      </c>
      <c r="H30" s="462">
        <f t="shared" si="0"/>
        <v>39</v>
      </c>
      <c r="I30" s="312">
        <v>140</v>
      </c>
      <c r="J30" s="312">
        <v>5.18</v>
      </c>
      <c r="K30" s="311">
        <f t="shared" si="1"/>
        <v>725.19999999999993</v>
      </c>
      <c r="L30" s="310">
        <v>44098</v>
      </c>
      <c r="M30" s="327">
        <v>44105</v>
      </c>
      <c r="N30" s="329"/>
    </row>
    <row r="31" spans="1:14" s="129" customFormat="1" x14ac:dyDescent="0.3">
      <c r="A31" s="124" t="s">
        <v>2026</v>
      </c>
      <c r="B31" s="124" t="s">
        <v>2031</v>
      </c>
      <c r="C31" s="124" t="s">
        <v>1511</v>
      </c>
      <c r="D31" s="125" t="s">
        <v>2048</v>
      </c>
      <c r="E31" s="125">
        <v>7</v>
      </c>
      <c r="F31" s="125" t="s">
        <v>509</v>
      </c>
      <c r="G31" s="310">
        <v>44094</v>
      </c>
      <c r="H31" s="462">
        <f t="shared" si="0"/>
        <v>39</v>
      </c>
      <c r="I31" s="312">
        <v>10</v>
      </c>
      <c r="J31" s="312">
        <v>50</v>
      </c>
      <c r="K31" s="311">
        <f t="shared" si="1"/>
        <v>500</v>
      </c>
      <c r="L31" s="310">
        <v>44091</v>
      </c>
      <c r="M31" s="327">
        <v>44105</v>
      </c>
      <c r="N31" s="329"/>
    </row>
    <row r="32" spans="1:14" s="129" customFormat="1" x14ac:dyDescent="0.3">
      <c r="A32" s="124" t="s">
        <v>2027</v>
      </c>
      <c r="B32" s="124" t="s">
        <v>2032</v>
      </c>
      <c r="C32" s="124" t="s">
        <v>1511</v>
      </c>
      <c r="D32" s="125" t="s">
        <v>2049</v>
      </c>
      <c r="E32" s="125">
        <v>7</v>
      </c>
      <c r="F32" s="125" t="s">
        <v>509</v>
      </c>
      <c r="G32" s="310">
        <v>44095</v>
      </c>
      <c r="H32" s="462">
        <f t="shared" si="0"/>
        <v>39</v>
      </c>
      <c r="I32" s="312">
        <v>8</v>
      </c>
      <c r="J32" s="312">
        <v>35</v>
      </c>
      <c r="K32" s="311">
        <f t="shared" si="1"/>
        <v>280</v>
      </c>
      <c r="L32" s="310">
        <v>44091</v>
      </c>
      <c r="M32" s="327">
        <v>44105</v>
      </c>
      <c r="N32" s="329"/>
    </row>
    <row r="33" spans="1:14" s="129" customFormat="1" x14ac:dyDescent="0.3">
      <c r="A33" s="124" t="s">
        <v>2060</v>
      </c>
      <c r="B33" s="124" t="s">
        <v>2061</v>
      </c>
      <c r="C33" s="124" t="s">
        <v>1511</v>
      </c>
      <c r="D33" s="125" t="s">
        <v>2101</v>
      </c>
      <c r="E33" s="125" t="s">
        <v>5</v>
      </c>
      <c r="F33" s="125"/>
      <c r="G33" s="310">
        <v>44100</v>
      </c>
      <c r="H33" s="462">
        <f t="shared" si="0"/>
        <v>39</v>
      </c>
      <c r="I33" s="312">
        <v>220</v>
      </c>
      <c r="J33" s="312">
        <v>2.5</v>
      </c>
      <c r="K33" s="311">
        <f t="shared" si="1"/>
        <v>550</v>
      </c>
      <c r="L33" s="310">
        <v>44098</v>
      </c>
      <c r="M33" s="327">
        <v>44105</v>
      </c>
      <c r="N33" s="329"/>
    </row>
    <row r="34" spans="1:14" s="129" customFormat="1" x14ac:dyDescent="0.3">
      <c r="A34" s="124" t="s">
        <v>2062</v>
      </c>
      <c r="B34" s="124" t="s">
        <v>2063</v>
      </c>
      <c r="C34" s="124" t="s">
        <v>1511</v>
      </c>
      <c r="D34" s="125" t="s">
        <v>2102</v>
      </c>
      <c r="E34" s="125" t="s">
        <v>5</v>
      </c>
      <c r="F34" s="125"/>
      <c r="G34" s="310">
        <v>44100</v>
      </c>
      <c r="H34" s="462">
        <f t="shared" si="0"/>
        <v>39</v>
      </c>
      <c r="I34" s="312">
        <v>120</v>
      </c>
      <c r="J34" s="312">
        <v>4.26</v>
      </c>
      <c r="K34" s="311">
        <f t="shared" si="1"/>
        <v>511.2</v>
      </c>
      <c r="L34" s="310">
        <v>44098</v>
      </c>
      <c r="M34" s="327">
        <v>44105</v>
      </c>
      <c r="N34" s="329"/>
    </row>
    <row r="35" spans="1:14" s="129" customFormat="1" x14ac:dyDescent="0.3">
      <c r="A35" s="124" t="s">
        <v>1910</v>
      </c>
      <c r="B35" s="124" t="s">
        <v>1691</v>
      </c>
      <c r="C35" s="124" t="s">
        <v>1511</v>
      </c>
      <c r="D35" s="125" t="s">
        <v>2380</v>
      </c>
      <c r="E35" s="125" t="s">
        <v>5</v>
      </c>
      <c r="F35" s="329"/>
      <c r="G35" s="310">
        <v>44127</v>
      </c>
      <c r="H35" s="462">
        <f t="shared" si="0"/>
        <v>43</v>
      </c>
      <c r="I35" s="312">
        <v>26.96</v>
      </c>
      <c r="J35" s="312">
        <v>133.22999999999999</v>
      </c>
      <c r="K35" s="311">
        <f t="shared" si="1"/>
        <v>3591.8807999999999</v>
      </c>
      <c r="L35" s="310">
        <v>44124</v>
      </c>
      <c r="M35" s="327">
        <v>44133</v>
      </c>
      <c r="N35" s="329"/>
    </row>
    <row r="36" spans="1:14" s="129" customFormat="1" x14ac:dyDescent="0.3">
      <c r="A36" s="124" t="s">
        <v>2058</v>
      </c>
      <c r="B36" s="124" t="s">
        <v>1691</v>
      </c>
      <c r="C36" s="124" t="s">
        <v>1511</v>
      </c>
      <c r="D36" s="125" t="s">
        <v>2303</v>
      </c>
      <c r="E36" s="125" t="s">
        <v>5</v>
      </c>
      <c r="F36" s="125"/>
      <c r="G36" s="310">
        <v>44127</v>
      </c>
      <c r="H36" s="462">
        <f t="shared" si="0"/>
        <v>43</v>
      </c>
      <c r="I36" s="312">
        <v>6.1</v>
      </c>
      <c r="J36" s="312">
        <v>133.22999999999999</v>
      </c>
      <c r="K36" s="311">
        <f t="shared" si="1"/>
        <v>812.70299999999986</v>
      </c>
      <c r="L36" s="310">
        <v>44124</v>
      </c>
      <c r="M36" s="327">
        <v>44133</v>
      </c>
      <c r="N36" s="329"/>
    </row>
    <row r="37" spans="1:14" s="129" customFormat="1" x14ac:dyDescent="0.3">
      <c r="A37" s="124" t="s">
        <v>2104</v>
      </c>
      <c r="B37" s="124" t="s">
        <v>1691</v>
      </c>
      <c r="C37" s="124" t="s">
        <v>1511</v>
      </c>
      <c r="D37" s="125" t="s">
        <v>2301</v>
      </c>
      <c r="E37" s="125" t="s">
        <v>5</v>
      </c>
      <c r="F37" s="125"/>
      <c r="G37" s="310">
        <v>44127</v>
      </c>
      <c r="H37" s="462">
        <f t="shared" si="0"/>
        <v>43</v>
      </c>
      <c r="I37" s="312">
        <v>6.1</v>
      </c>
      <c r="J37" s="312">
        <v>133.22999999999999</v>
      </c>
      <c r="K37" s="311">
        <f t="shared" si="1"/>
        <v>812.70299999999986</v>
      </c>
      <c r="L37" s="310">
        <v>44124</v>
      </c>
      <c r="M37" s="327">
        <v>44133</v>
      </c>
      <c r="N37" s="329"/>
    </row>
    <row r="38" spans="1:14" s="129" customFormat="1" x14ac:dyDescent="0.3">
      <c r="A38" s="124" t="s">
        <v>2154</v>
      </c>
      <c r="B38" s="124" t="s">
        <v>1691</v>
      </c>
      <c r="C38" s="124" t="s">
        <v>1511</v>
      </c>
      <c r="D38" s="125" t="s">
        <v>2441</v>
      </c>
      <c r="E38" s="125" t="s">
        <v>5</v>
      </c>
      <c r="F38" s="125"/>
      <c r="G38" s="310">
        <v>44127</v>
      </c>
      <c r="H38" s="462">
        <f t="shared" si="0"/>
        <v>43</v>
      </c>
      <c r="I38" s="312">
        <v>6.1</v>
      </c>
      <c r="J38" s="312">
        <v>133.22999999999999</v>
      </c>
      <c r="K38" s="311">
        <f t="shared" si="1"/>
        <v>812.70299999999986</v>
      </c>
      <c r="L38" s="310">
        <v>44124</v>
      </c>
      <c r="M38" s="327">
        <v>44133</v>
      </c>
      <c r="N38" s="329"/>
    </row>
    <row r="39" spans="1:14" s="129" customFormat="1" x14ac:dyDescent="0.3">
      <c r="A39" s="124" t="s">
        <v>2154</v>
      </c>
      <c r="B39" s="124" t="s">
        <v>1691</v>
      </c>
      <c r="C39" s="124" t="s">
        <v>1511</v>
      </c>
      <c r="D39" s="125" t="s">
        <v>2440</v>
      </c>
      <c r="E39" s="125" t="s">
        <v>5</v>
      </c>
      <c r="F39" s="125"/>
      <c r="G39" s="310">
        <v>44127</v>
      </c>
      <c r="H39" s="462">
        <f t="shared" si="0"/>
        <v>43</v>
      </c>
      <c r="I39" s="312">
        <v>6.1</v>
      </c>
      <c r="J39" s="312">
        <v>133.22999999999999</v>
      </c>
      <c r="K39" s="311">
        <f t="shared" si="1"/>
        <v>812.70299999999986</v>
      </c>
      <c r="L39" s="310">
        <v>44124</v>
      </c>
      <c r="M39" s="327">
        <v>44141</v>
      </c>
      <c r="N39" s="329"/>
    </row>
    <row r="40" spans="1:14" s="129" customFormat="1" x14ac:dyDescent="0.3">
      <c r="A40" s="124" t="s">
        <v>2158</v>
      </c>
      <c r="B40" s="124" t="s">
        <v>2203</v>
      </c>
      <c r="C40" s="124" t="s">
        <v>1511</v>
      </c>
      <c r="D40" s="125" t="s">
        <v>2240</v>
      </c>
      <c r="E40" s="125" t="s">
        <v>5</v>
      </c>
      <c r="F40" s="125"/>
      <c r="G40" s="310">
        <v>44130</v>
      </c>
      <c r="H40" s="462">
        <f t="shared" si="0"/>
        <v>44</v>
      </c>
      <c r="I40" s="311">
        <v>1123</v>
      </c>
      <c r="J40" s="311">
        <v>4.0999999999999996</v>
      </c>
      <c r="K40" s="311">
        <f t="shared" si="1"/>
        <v>4604.2999999999993</v>
      </c>
      <c r="L40" s="310">
        <v>44127</v>
      </c>
      <c r="M40" s="327">
        <v>44141</v>
      </c>
      <c r="N40" s="329"/>
    </row>
    <row r="41" spans="1:14" s="129" customFormat="1" x14ac:dyDescent="0.3">
      <c r="A41" s="124" t="s">
        <v>2159</v>
      </c>
      <c r="B41" s="124" t="s">
        <v>2203</v>
      </c>
      <c r="C41" s="124" t="s">
        <v>1511</v>
      </c>
      <c r="D41" s="125" t="s">
        <v>2241</v>
      </c>
      <c r="E41" s="125" t="s">
        <v>5</v>
      </c>
      <c r="F41" s="125"/>
      <c r="G41" s="310">
        <v>44130</v>
      </c>
      <c r="H41" s="462">
        <f t="shared" si="0"/>
        <v>44</v>
      </c>
      <c r="I41" s="311">
        <v>543</v>
      </c>
      <c r="J41" s="311">
        <v>4.0999999999999996</v>
      </c>
      <c r="K41" s="311">
        <f t="shared" si="1"/>
        <v>2226.2999999999997</v>
      </c>
      <c r="L41" s="310">
        <v>44127</v>
      </c>
      <c r="M41" s="327">
        <v>44141</v>
      </c>
      <c r="N41" s="329"/>
    </row>
    <row r="42" spans="1:14" s="129" customFormat="1" x14ac:dyDescent="0.3">
      <c r="A42" s="124" t="s">
        <v>2161</v>
      </c>
      <c r="B42" s="124" t="s">
        <v>2203</v>
      </c>
      <c r="C42" s="124" t="s">
        <v>1511</v>
      </c>
      <c r="D42" s="125" t="s">
        <v>2242</v>
      </c>
      <c r="E42" s="125" t="s">
        <v>5</v>
      </c>
      <c r="F42" s="125"/>
      <c r="G42" s="310">
        <v>44130</v>
      </c>
      <c r="H42" s="462">
        <f t="shared" si="0"/>
        <v>44</v>
      </c>
      <c r="I42" s="311">
        <v>11632</v>
      </c>
      <c r="J42" s="311">
        <v>4.0999999999999996</v>
      </c>
      <c r="K42" s="311">
        <f t="shared" si="1"/>
        <v>47691.199999999997</v>
      </c>
      <c r="L42" s="310">
        <v>44127</v>
      </c>
      <c r="M42" s="327">
        <v>44141</v>
      </c>
      <c r="N42" s="329"/>
    </row>
    <row r="43" spans="1:14" s="129" customFormat="1" x14ac:dyDescent="0.3">
      <c r="A43" s="124" t="s">
        <v>2162</v>
      </c>
      <c r="B43" s="124" t="s">
        <v>2204</v>
      </c>
      <c r="C43" s="124" t="s">
        <v>1511</v>
      </c>
      <c r="D43" s="125" t="s">
        <v>2243</v>
      </c>
      <c r="E43" s="125" t="s">
        <v>5</v>
      </c>
      <c r="F43" s="125"/>
      <c r="G43" s="310">
        <v>44130</v>
      </c>
      <c r="H43" s="462">
        <f t="shared" si="0"/>
        <v>44</v>
      </c>
      <c r="I43" s="311">
        <v>850</v>
      </c>
      <c r="J43" s="311">
        <v>7.93</v>
      </c>
      <c r="K43" s="311">
        <f t="shared" si="1"/>
        <v>6740.5</v>
      </c>
      <c r="L43" s="310">
        <v>44127</v>
      </c>
      <c r="M43" s="327">
        <v>44141</v>
      </c>
      <c r="N43" s="329"/>
    </row>
    <row r="44" spans="1:14" s="129" customFormat="1" x14ac:dyDescent="0.3">
      <c r="A44" s="124" t="s">
        <v>2163</v>
      </c>
      <c r="B44" s="124" t="s">
        <v>2204</v>
      </c>
      <c r="C44" s="124" t="s">
        <v>1511</v>
      </c>
      <c r="D44" s="125" t="s">
        <v>2244</v>
      </c>
      <c r="E44" s="125" t="s">
        <v>5</v>
      </c>
      <c r="F44" s="125"/>
      <c r="G44" s="310">
        <v>44130</v>
      </c>
      <c r="H44" s="462">
        <f t="shared" si="0"/>
        <v>44</v>
      </c>
      <c r="I44" s="311">
        <v>410</v>
      </c>
      <c r="J44" s="311">
        <v>7.93</v>
      </c>
      <c r="K44" s="311">
        <f t="shared" si="1"/>
        <v>3251.2999999999997</v>
      </c>
      <c r="L44" s="310">
        <v>44127</v>
      </c>
      <c r="M44" s="327">
        <v>44141</v>
      </c>
      <c r="N44" s="329"/>
    </row>
    <row r="45" spans="1:14" s="129" customFormat="1" x14ac:dyDescent="0.3">
      <c r="A45" s="124" t="s">
        <v>2164</v>
      </c>
      <c r="B45" s="124" t="s">
        <v>2204</v>
      </c>
      <c r="C45" s="124" t="s">
        <v>1511</v>
      </c>
      <c r="D45" s="125" t="s">
        <v>2245</v>
      </c>
      <c r="E45" s="125" t="s">
        <v>5</v>
      </c>
      <c r="F45" s="125"/>
      <c r="G45" s="310">
        <v>44130</v>
      </c>
      <c r="H45" s="462">
        <f t="shared" si="0"/>
        <v>44</v>
      </c>
      <c r="I45" s="311">
        <v>2770</v>
      </c>
      <c r="J45" s="311">
        <v>7.93</v>
      </c>
      <c r="K45" s="311">
        <f t="shared" si="1"/>
        <v>21966.1</v>
      </c>
      <c r="L45" s="310">
        <v>44127</v>
      </c>
      <c r="M45" s="327">
        <v>44141</v>
      </c>
      <c r="N45" s="329"/>
    </row>
    <row r="46" spans="1:14" s="129" customFormat="1" x14ac:dyDescent="0.3">
      <c r="A46" s="124" t="s">
        <v>2165</v>
      </c>
      <c r="B46" s="124" t="s">
        <v>2033</v>
      </c>
      <c r="C46" s="124" t="s">
        <v>1511</v>
      </c>
      <c r="D46" s="125" t="s">
        <v>2246</v>
      </c>
      <c r="E46" s="125" t="s">
        <v>5</v>
      </c>
      <c r="F46" s="125"/>
      <c r="G46" s="310">
        <v>44130</v>
      </c>
      <c r="H46" s="462">
        <f t="shared" si="0"/>
        <v>44</v>
      </c>
      <c r="I46" s="311">
        <v>3730</v>
      </c>
      <c r="J46" s="311">
        <v>5.45</v>
      </c>
      <c r="K46" s="311">
        <f t="shared" si="1"/>
        <v>20328.5</v>
      </c>
      <c r="L46" s="310">
        <v>44127</v>
      </c>
      <c r="M46" s="327">
        <v>44141</v>
      </c>
      <c r="N46" s="329"/>
    </row>
    <row r="47" spans="1:14" s="129" customFormat="1" x14ac:dyDescent="0.3">
      <c r="A47" s="124" t="s">
        <v>2149</v>
      </c>
      <c r="B47" s="124" t="s">
        <v>1692</v>
      </c>
      <c r="C47" s="124" t="s">
        <v>1511</v>
      </c>
      <c r="D47" s="125" t="s">
        <v>2302</v>
      </c>
      <c r="E47" s="125" t="s">
        <v>5</v>
      </c>
      <c r="F47" s="125"/>
      <c r="G47" s="310">
        <v>44134</v>
      </c>
      <c r="H47" s="462">
        <f t="shared" si="0"/>
        <v>44</v>
      </c>
      <c r="I47" s="312">
        <v>31.5</v>
      </c>
      <c r="J47" s="312">
        <v>79.209999999999994</v>
      </c>
      <c r="K47" s="311">
        <f t="shared" si="1"/>
        <v>2495.1149999999998</v>
      </c>
      <c r="L47" s="310">
        <v>44133</v>
      </c>
      <c r="M47" s="327">
        <v>44141</v>
      </c>
      <c r="N47" s="329"/>
    </row>
    <row r="48" spans="1:14" s="129" customFormat="1" x14ac:dyDescent="0.3">
      <c r="A48" s="124" t="s">
        <v>2153</v>
      </c>
      <c r="B48" s="124" t="s">
        <v>1692</v>
      </c>
      <c r="C48" s="124" t="s">
        <v>1511</v>
      </c>
      <c r="D48" s="125" t="s">
        <v>2297</v>
      </c>
      <c r="E48" s="125" t="s">
        <v>5</v>
      </c>
      <c r="F48" s="125"/>
      <c r="G48" s="310">
        <v>44134</v>
      </c>
      <c r="H48" s="462">
        <f t="shared" si="0"/>
        <v>44</v>
      </c>
      <c r="I48" s="312">
        <v>31.5</v>
      </c>
      <c r="J48" s="312">
        <v>79.209999999999994</v>
      </c>
      <c r="K48" s="311">
        <f t="shared" si="1"/>
        <v>2495.1149999999998</v>
      </c>
      <c r="L48" s="310">
        <v>44133</v>
      </c>
      <c r="M48" s="327">
        <v>44141</v>
      </c>
      <c r="N48" s="329"/>
    </row>
    <row r="49" spans="1:14" s="129" customFormat="1" x14ac:dyDescent="0.3">
      <c r="A49" s="124" t="s">
        <v>2157</v>
      </c>
      <c r="B49" s="124" t="s">
        <v>1691</v>
      </c>
      <c r="C49" s="124" t="s">
        <v>1511</v>
      </c>
      <c r="D49" s="125" t="s">
        <v>2295</v>
      </c>
      <c r="E49" s="125" t="s">
        <v>5</v>
      </c>
      <c r="F49" s="125"/>
      <c r="G49" s="310">
        <v>44134</v>
      </c>
      <c r="H49" s="462">
        <f t="shared" si="0"/>
        <v>44</v>
      </c>
      <c r="I49" s="311">
        <v>1.39</v>
      </c>
      <c r="J49" s="311">
        <v>133.22999999999999</v>
      </c>
      <c r="K49" s="311">
        <f t="shared" si="1"/>
        <v>185.18969999999996</v>
      </c>
      <c r="L49" s="310">
        <v>44133</v>
      </c>
      <c r="M49" s="327">
        <v>44141</v>
      </c>
      <c r="N49" s="329"/>
    </row>
    <row r="50" spans="1:14" s="129" customFormat="1" x14ac:dyDescent="0.3">
      <c r="A50" s="124" t="s">
        <v>2166</v>
      </c>
      <c r="B50" s="124" t="s">
        <v>2033</v>
      </c>
      <c r="C50" s="124" t="s">
        <v>1511</v>
      </c>
      <c r="D50" s="125" t="s">
        <v>2247</v>
      </c>
      <c r="E50" s="125" t="s">
        <v>5</v>
      </c>
      <c r="F50" s="125"/>
      <c r="G50" s="310">
        <v>44130</v>
      </c>
      <c r="H50" s="462">
        <f t="shared" si="0"/>
        <v>44</v>
      </c>
      <c r="I50" s="311">
        <v>2160</v>
      </c>
      <c r="J50" s="311">
        <v>5.45</v>
      </c>
      <c r="K50" s="311">
        <f t="shared" si="1"/>
        <v>11772</v>
      </c>
      <c r="L50" s="310">
        <v>44127</v>
      </c>
      <c r="M50" s="327">
        <v>44141</v>
      </c>
      <c r="N50" s="329"/>
    </row>
    <row r="51" spans="1:14" s="129" customFormat="1" x14ac:dyDescent="0.3">
      <c r="A51" s="124" t="s">
        <v>2167</v>
      </c>
      <c r="B51" s="124" t="s">
        <v>2205</v>
      </c>
      <c r="C51" s="124" t="s">
        <v>1511</v>
      </c>
      <c r="D51" s="125" t="s">
        <v>2248</v>
      </c>
      <c r="E51" s="125" t="s">
        <v>5</v>
      </c>
      <c r="F51" s="125"/>
      <c r="G51" s="310">
        <v>44130</v>
      </c>
      <c r="H51" s="462">
        <f t="shared" si="0"/>
        <v>44</v>
      </c>
      <c r="I51" s="311">
        <v>1056</v>
      </c>
      <c r="J51" s="311">
        <v>5.92</v>
      </c>
      <c r="K51" s="311">
        <f t="shared" si="1"/>
        <v>6251.5199999999995</v>
      </c>
      <c r="L51" s="310">
        <v>44127</v>
      </c>
      <c r="M51" s="327">
        <v>44141</v>
      </c>
      <c r="N51" s="329"/>
    </row>
    <row r="52" spans="1:14" s="129" customFormat="1" x14ac:dyDescent="0.3">
      <c r="A52" s="124" t="s">
        <v>2168</v>
      </c>
      <c r="B52" s="124" t="s">
        <v>2205</v>
      </c>
      <c r="C52" s="124" t="s">
        <v>1511</v>
      </c>
      <c r="D52" s="125" t="s">
        <v>2296</v>
      </c>
      <c r="E52" s="125" t="s">
        <v>5</v>
      </c>
      <c r="F52" s="125"/>
      <c r="G52" s="310">
        <v>44131</v>
      </c>
      <c r="H52" s="462">
        <f t="shared" si="0"/>
        <v>44</v>
      </c>
      <c r="I52" s="311">
        <v>330</v>
      </c>
      <c r="J52" s="311">
        <v>5.92</v>
      </c>
      <c r="K52" s="311">
        <f t="shared" si="1"/>
        <v>1953.6</v>
      </c>
      <c r="L52" s="310">
        <v>44133</v>
      </c>
      <c r="M52" s="327">
        <v>44141</v>
      </c>
      <c r="N52" s="329"/>
    </row>
    <row r="53" spans="1:14" s="129" customFormat="1" x14ac:dyDescent="0.3">
      <c r="A53" s="124" t="s">
        <v>2169</v>
      </c>
      <c r="B53" s="124" t="s">
        <v>2205</v>
      </c>
      <c r="C53" s="124" t="s">
        <v>1511</v>
      </c>
      <c r="D53" s="125" t="s">
        <v>2249</v>
      </c>
      <c r="E53" s="125" t="s">
        <v>5</v>
      </c>
      <c r="F53" s="125"/>
      <c r="G53" s="310">
        <v>44130</v>
      </c>
      <c r="H53" s="462">
        <f t="shared" si="0"/>
        <v>44</v>
      </c>
      <c r="I53" s="311">
        <v>4795</v>
      </c>
      <c r="J53" s="311">
        <v>5.92</v>
      </c>
      <c r="K53" s="311">
        <f t="shared" si="1"/>
        <v>28386.400000000001</v>
      </c>
      <c r="L53" s="310">
        <v>44127</v>
      </c>
      <c r="M53" s="327">
        <v>44141</v>
      </c>
      <c r="N53" s="329"/>
    </row>
    <row r="54" spans="1:14" s="129" customFormat="1" x14ac:dyDescent="0.3">
      <c r="A54" s="124" t="s">
        <v>2170</v>
      </c>
      <c r="B54" s="124" t="s">
        <v>2065</v>
      </c>
      <c r="C54" s="124" t="s">
        <v>1511</v>
      </c>
      <c r="D54" s="125" t="s">
        <v>2250</v>
      </c>
      <c r="E54" s="125" t="s">
        <v>5</v>
      </c>
      <c r="F54" s="125"/>
      <c r="G54" s="310">
        <v>44130</v>
      </c>
      <c r="H54" s="462">
        <f t="shared" si="0"/>
        <v>44</v>
      </c>
      <c r="I54" s="311">
        <v>1770</v>
      </c>
      <c r="J54" s="311">
        <v>5.18</v>
      </c>
      <c r="K54" s="311">
        <f t="shared" si="1"/>
        <v>9168.6</v>
      </c>
      <c r="L54" s="310">
        <v>44127</v>
      </c>
      <c r="M54" s="327">
        <v>44141</v>
      </c>
      <c r="N54" s="329"/>
    </row>
    <row r="55" spans="1:14" s="129" customFormat="1" x14ac:dyDescent="0.3">
      <c r="A55" s="124" t="s">
        <v>2171</v>
      </c>
      <c r="B55" s="124" t="s">
        <v>2065</v>
      </c>
      <c r="C55" s="124" t="s">
        <v>1511</v>
      </c>
      <c r="D55" s="125" t="s">
        <v>2251</v>
      </c>
      <c r="E55" s="125" t="s">
        <v>5</v>
      </c>
      <c r="F55" s="125"/>
      <c r="G55" s="310">
        <v>44130</v>
      </c>
      <c r="H55" s="462">
        <f t="shared" si="0"/>
        <v>44</v>
      </c>
      <c r="I55" s="311">
        <v>290</v>
      </c>
      <c r="J55" s="311">
        <v>5.18</v>
      </c>
      <c r="K55" s="311">
        <f t="shared" si="1"/>
        <v>1502.1999999999998</v>
      </c>
      <c r="L55" s="310">
        <v>44127</v>
      </c>
      <c r="M55" s="327">
        <v>44141</v>
      </c>
      <c r="N55" s="329"/>
    </row>
    <row r="56" spans="1:14" s="129" customFormat="1" x14ac:dyDescent="0.3">
      <c r="A56" s="124" t="s">
        <v>2172</v>
      </c>
      <c r="B56" s="124" t="s">
        <v>2065</v>
      </c>
      <c r="C56" s="124" t="s">
        <v>1511</v>
      </c>
      <c r="D56" s="125" t="s">
        <v>2252</v>
      </c>
      <c r="E56" s="125" t="s">
        <v>5</v>
      </c>
      <c r="F56" s="125"/>
      <c r="G56" s="310">
        <v>44130</v>
      </c>
      <c r="H56" s="462">
        <f t="shared" si="0"/>
        <v>44</v>
      </c>
      <c r="I56" s="311">
        <v>940</v>
      </c>
      <c r="J56" s="311">
        <v>5.18</v>
      </c>
      <c r="K56" s="311">
        <f t="shared" si="1"/>
        <v>4869.2</v>
      </c>
      <c r="L56" s="310">
        <v>44127</v>
      </c>
      <c r="M56" s="327">
        <v>44141</v>
      </c>
      <c r="N56" s="329"/>
    </row>
    <row r="57" spans="1:14" s="129" customFormat="1" x14ac:dyDescent="0.3">
      <c r="A57" s="124" t="s">
        <v>2173</v>
      </c>
      <c r="B57" s="124" t="s">
        <v>2065</v>
      </c>
      <c r="C57" s="124" t="s">
        <v>1511</v>
      </c>
      <c r="D57" s="125" t="s">
        <v>2253</v>
      </c>
      <c r="E57" s="125" t="s">
        <v>5</v>
      </c>
      <c r="F57" s="125"/>
      <c r="G57" s="310">
        <v>44130</v>
      </c>
      <c r="H57" s="462">
        <f t="shared" si="0"/>
        <v>44</v>
      </c>
      <c r="I57" s="311">
        <v>2650</v>
      </c>
      <c r="J57" s="311">
        <v>5.18</v>
      </c>
      <c r="K57" s="311">
        <f t="shared" si="1"/>
        <v>13727</v>
      </c>
      <c r="L57" s="310">
        <v>44127</v>
      </c>
      <c r="M57" s="327">
        <v>44141</v>
      </c>
      <c r="N57" s="329"/>
    </row>
    <row r="58" spans="1:14" s="129" customFormat="1" x14ac:dyDescent="0.3">
      <c r="A58" s="124" t="s">
        <v>2174</v>
      </c>
      <c r="B58" s="124" t="s">
        <v>2206</v>
      </c>
      <c r="C58" s="124" t="s">
        <v>1511</v>
      </c>
      <c r="D58" s="125" t="s">
        <v>2442</v>
      </c>
      <c r="E58" s="125" t="s">
        <v>5</v>
      </c>
      <c r="F58" s="125"/>
      <c r="G58" s="310">
        <v>44131</v>
      </c>
      <c r="H58" s="462">
        <f t="shared" si="0"/>
        <v>44</v>
      </c>
      <c r="I58" s="311">
        <v>950</v>
      </c>
      <c r="J58" s="311">
        <v>6.44</v>
      </c>
      <c r="K58" s="311">
        <f t="shared" si="1"/>
        <v>6118</v>
      </c>
      <c r="L58" s="310">
        <v>44133</v>
      </c>
      <c r="M58" s="327">
        <v>44141</v>
      </c>
      <c r="N58" s="329"/>
    </row>
    <row r="59" spans="1:14" s="129" customFormat="1" x14ac:dyDescent="0.3">
      <c r="A59" s="124" t="s">
        <v>2174</v>
      </c>
      <c r="B59" s="124" t="s">
        <v>2206</v>
      </c>
      <c r="C59" s="124" t="s">
        <v>1511</v>
      </c>
      <c r="D59" s="125" t="s">
        <v>2443</v>
      </c>
      <c r="E59" s="125" t="s">
        <v>5</v>
      </c>
      <c r="F59" s="125"/>
      <c r="G59" s="310">
        <v>44131</v>
      </c>
      <c r="H59" s="462">
        <f t="shared" si="0"/>
        <v>44</v>
      </c>
      <c r="I59" s="311">
        <v>950</v>
      </c>
      <c r="J59" s="311">
        <v>6.44</v>
      </c>
      <c r="K59" s="311">
        <f t="shared" si="1"/>
        <v>6118</v>
      </c>
      <c r="L59" s="310">
        <v>44133</v>
      </c>
      <c r="M59" s="327">
        <v>44141</v>
      </c>
      <c r="N59" s="329"/>
    </row>
    <row r="60" spans="1:14" s="129" customFormat="1" x14ac:dyDescent="0.3">
      <c r="A60" s="124" t="s">
        <v>2175</v>
      </c>
      <c r="B60" s="124" t="s">
        <v>2206</v>
      </c>
      <c r="C60" s="124" t="s">
        <v>1511</v>
      </c>
      <c r="D60" s="125" t="s">
        <v>2254</v>
      </c>
      <c r="E60" s="125" t="s">
        <v>5</v>
      </c>
      <c r="F60" s="125"/>
      <c r="G60" s="310">
        <v>44130</v>
      </c>
      <c r="H60" s="462">
        <f t="shared" si="0"/>
        <v>44</v>
      </c>
      <c r="I60" s="311">
        <v>770</v>
      </c>
      <c r="J60" s="311">
        <v>6.44</v>
      </c>
      <c r="K60" s="311">
        <f t="shared" si="1"/>
        <v>4958.8</v>
      </c>
      <c r="L60" s="310">
        <v>44127</v>
      </c>
      <c r="M60" s="327">
        <v>44141</v>
      </c>
      <c r="N60" s="329"/>
    </row>
    <row r="61" spans="1:14" s="129" customFormat="1" x14ac:dyDescent="0.3">
      <c r="A61" s="124" t="s">
        <v>2176</v>
      </c>
      <c r="B61" s="124" t="s">
        <v>2206</v>
      </c>
      <c r="C61" s="124" t="s">
        <v>1511</v>
      </c>
      <c r="D61" s="125" t="s">
        <v>2255</v>
      </c>
      <c r="E61" s="125" t="s">
        <v>5</v>
      </c>
      <c r="F61" s="125"/>
      <c r="G61" s="310">
        <v>44130</v>
      </c>
      <c r="H61" s="462">
        <f t="shared" si="0"/>
        <v>44</v>
      </c>
      <c r="I61" s="311">
        <v>5410</v>
      </c>
      <c r="J61" s="311">
        <v>6.44</v>
      </c>
      <c r="K61" s="311">
        <f t="shared" si="1"/>
        <v>34840.400000000001</v>
      </c>
      <c r="L61" s="310">
        <v>44127</v>
      </c>
      <c r="M61" s="327">
        <v>44141</v>
      </c>
      <c r="N61" s="329"/>
    </row>
    <row r="62" spans="1:14" s="129" customFormat="1" x14ac:dyDescent="0.3">
      <c r="A62" s="124" t="s">
        <v>2177</v>
      </c>
      <c r="B62" s="124" t="s">
        <v>2207</v>
      </c>
      <c r="C62" s="124" t="s">
        <v>1511</v>
      </c>
      <c r="D62" s="125" t="s">
        <v>2256</v>
      </c>
      <c r="E62" s="125" t="s">
        <v>5</v>
      </c>
      <c r="F62" s="125"/>
      <c r="G62" s="310">
        <v>44130</v>
      </c>
      <c r="H62" s="462">
        <f t="shared" si="0"/>
        <v>44</v>
      </c>
      <c r="I62" s="311">
        <v>2970</v>
      </c>
      <c r="J62" s="311">
        <v>5.28</v>
      </c>
      <c r="K62" s="311">
        <f t="shared" si="1"/>
        <v>15681.6</v>
      </c>
      <c r="L62" s="310">
        <v>44127</v>
      </c>
      <c r="M62" s="327">
        <v>44141</v>
      </c>
      <c r="N62" s="329"/>
    </row>
    <row r="63" spans="1:14" s="129" customFormat="1" x14ac:dyDescent="0.3">
      <c r="A63" s="331" t="s">
        <v>2238</v>
      </c>
      <c r="B63" s="124" t="s">
        <v>1691</v>
      </c>
      <c r="C63" s="124" t="s">
        <v>1511</v>
      </c>
      <c r="D63" s="125" t="s">
        <v>2287</v>
      </c>
      <c r="E63" s="125" t="s">
        <v>5</v>
      </c>
      <c r="F63" s="125"/>
      <c r="G63" s="310">
        <v>44134</v>
      </c>
      <c r="H63" s="462">
        <f t="shared" si="0"/>
        <v>44</v>
      </c>
      <c r="I63" s="311">
        <v>3.76</v>
      </c>
      <c r="J63" s="311">
        <v>133.22999999999999</v>
      </c>
      <c r="K63" s="311">
        <f t="shared" si="1"/>
        <v>500.94479999999993</v>
      </c>
      <c r="L63" s="310">
        <v>44127</v>
      </c>
      <c r="M63" s="327">
        <v>44141</v>
      </c>
      <c r="N63" s="329"/>
    </row>
    <row r="64" spans="1:14" s="129" customFormat="1" x14ac:dyDescent="0.3">
      <c r="A64" s="124" t="s">
        <v>2022</v>
      </c>
      <c r="B64" s="124" t="s">
        <v>1691</v>
      </c>
      <c r="C64" s="124" t="s">
        <v>1511</v>
      </c>
      <c r="D64" s="125" t="s">
        <v>2387</v>
      </c>
      <c r="E64" s="125" t="s">
        <v>5</v>
      </c>
      <c r="F64" s="125"/>
      <c r="G64" s="310">
        <v>44155</v>
      </c>
      <c r="H64" s="462">
        <f t="shared" si="0"/>
        <v>47</v>
      </c>
      <c r="I64" s="312">
        <v>5.39</v>
      </c>
      <c r="J64" s="312">
        <v>134.88</v>
      </c>
      <c r="K64" s="311">
        <f t="shared" si="1"/>
        <v>727.00319999999988</v>
      </c>
      <c r="L64" s="310">
        <v>44152</v>
      </c>
      <c r="M64" s="327">
        <v>44161</v>
      </c>
      <c r="N64" s="329"/>
    </row>
    <row r="65" spans="1:14" s="129" customFormat="1" x14ac:dyDescent="0.3">
      <c r="A65" s="124" t="s">
        <v>2150</v>
      </c>
      <c r="B65" s="124" t="s">
        <v>1691</v>
      </c>
      <c r="C65" s="124" t="s">
        <v>1511</v>
      </c>
      <c r="D65" s="125" t="s">
        <v>2385</v>
      </c>
      <c r="E65" s="125" t="s">
        <v>5</v>
      </c>
      <c r="F65" s="125"/>
      <c r="G65" s="310">
        <v>44151</v>
      </c>
      <c r="H65" s="462">
        <f t="shared" si="0"/>
        <v>47</v>
      </c>
      <c r="I65" s="312">
        <v>4.5599999999999996</v>
      </c>
      <c r="J65" s="312">
        <v>133.22999999999999</v>
      </c>
      <c r="K65" s="311">
        <f t="shared" si="1"/>
        <v>607.52879999999993</v>
      </c>
      <c r="L65" s="310">
        <v>44148</v>
      </c>
      <c r="M65" s="327">
        <v>44161</v>
      </c>
      <c r="N65" s="329"/>
    </row>
    <row r="66" spans="1:14" s="129" customFormat="1" x14ac:dyDescent="0.3">
      <c r="A66" s="124" t="s">
        <v>2298</v>
      </c>
      <c r="B66" s="124" t="s">
        <v>2030</v>
      </c>
      <c r="C66" s="124" t="s">
        <v>589</v>
      </c>
      <c r="D66" s="125" t="s">
        <v>2300</v>
      </c>
      <c r="E66" s="125">
        <v>30</v>
      </c>
      <c r="F66" s="125" t="s">
        <v>509</v>
      </c>
      <c r="G66" s="310">
        <v>44162</v>
      </c>
      <c r="H66" s="462">
        <f t="shared" ref="H66:H129" si="2">WEEKNUM(G66)</f>
        <v>48</v>
      </c>
      <c r="I66" s="312">
        <v>30</v>
      </c>
      <c r="J66" s="312">
        <v>570</v>
      </c>
      <c r="K66" s="311">
        <f t="shared" ref="K66:K129" si="3">+I66*J66</f>
        <v>17100</v>
      </c>
      <c r="L66" s="310">
        <v>44133</v>
      </c>
      <c r="M66" s="327">
        <v>44161</v>
      </c>
      <c r="N66" s="329"/>
    </row>
    <row r="67" spans="1:14" x14ac:dyDescent="0.3">
      <c r="A67" s="124" t="s">
        <v>1963</v>
      </c>
      <c r="B67" s="124" t="s">
        <v>1040</v>
      </c>
      <c r="C67" s="124" t="s">
        <v>550</v>
      </c>
      <c r="D67" s="125" t="s">
        <v>1964</v>
      </c>
      <c r="E67" s="125">
        <v>90</v>
      </c>
      <c r="F67" s="125" t="s">
        <v>509</v>
      </c>
      <c r="G67" s="310">
        <v>44164</v>
      </c>
      <c r="H67" s="462">
        <f t="shared" si="2"/>
        <v>49</v>
      </c>
      <c r="I67" s="312">
        <v>30</v>
      </c>
      <c r="J67" s="312">
        <v>549</v>
      </c>
      <c r="K67" s="311">
        <f t="shared" si="3"/>
        <v>16470</v>
      </c>
      <c r="L67" s="310">
        <v>44077</v>
      </c>
      <c r="M67" s="327">
        <v>44169</v>
      </c>
      <c r="N67" s="314"/>
    </row>
    <row r="68" spans="1:14" x14ac:dyDescent="0.3">
      <c r="A68" s="124" t="s">
        <v>1965</v>
      </c>
      <c r="B68" s="124" t="s">
        <v>1040</v>
      </c>
      <c r="C68" s="124" t="s">
        <v>550</v>
      </c>
      <c r="D68" s="125" t="s">
        <v>1964</v>
      </c>
      <c r="E68" s="125">
        <v>90</v>
      </c>
      <c r="F68" s="125" t="s">
        <v>509</v>
      </c>
      <c r="G68" s="310">
        <v>44164</v>
      </c>
      <c r="H68" s="462">
        <f t="shared" si="2"/>
        <v>49</v>
      </c>
      <c r="I68" s="312">
        <v>30</v>
      </c>
      <c r="J68" s="312">
        <v>549</v>
      </c>
      <c r="K68" s="311">
        <f t="shared" si="3"/>
        <v>16470</v>
      </c>
      <c r="L68" s="310">
        <v>44077</v>
      </c>
      <c r="M68" s="327">
        <v>44169</v>
      </c>
      <c r="N68" s="314"/>
    </row>
    <row r="69" spans="1:14" x14ac:dyDescent="0.3">
      <c r="A69" s="124" t="s">
        <v>1966</v>
      </c>
      <c r="B69" s="124" t="s">
        <v>1040</v>
      </c>
      <c r="C69" s="124" t="s">
        <v>550</v>
      </c>
      <c r="D69" s="125" t="s">
        <v>1964</v>
      </c>
      <c r="E69" s="125">
        <v>90</v>
      </c>
      <c r="F69" s="125" t="s">
        <v>509</v>
      </c>
      <c r="G69" s="310">
        <v>44164</v>
      </c>
      <c r="H69" s="462">
        <f t="shared" si="2"/>
        <v>49</v>
      </c>
      <c r="I69" s="312">
        <v>30</v>
      </c>
      <c r="J69" s="312">
        <v>549</v>
      </c>
      <c r="K69" s="311">
        <f t="shared" si="3"/>
        <v>16470</v>
      </c>
      <c r="L69" s="310">
        <v>44077</v>
      </c>
      <c r="M69" s="310">
        <v>44169</v>
      </c>
      <c r="N69" s="314"/>
    </row>
    <row r="70" spans="1:14" x14ac:dyDescent="0.3">
      <c r="A70" s="124" t="s">
        <v>2305</v>
      </c>
      <c r="B70" s="124" t="s">
        <v>1040</v>
      </c>
      <c r="C70" s="124" t="s">
        <v>550</v>
      </c>
      <c r="D70" s="125" t="s">
        <v>2017</v>
      </c>
      <c r="E70" s="125">
        <v>90</v>
      </c>
      <c r="F70" s="125" t="s">
        <v>509</v>
      </c>
      <c r="G70" s="310">
        <v>44167</v>
      </c>
      <c r="H70" s="462">
        <f t="shared" si="2"/>
        <v>49</v>
      </c>
      <c r="I70" s="312">
        <v>30</v>
      </c>
      <c r="J70" s="312">
        <v>549</v>
      </c>
      <c r="K70" s="311">
        <f t="shared" si="3"/>
        <v>16470</v>
      </c>
      <c r="L70" s="310">
        <v>44083</v>
      </c>
      <c r="M70" s="310">
        <v>44169</v>
      </c>
      <c r="N70" s="314"/>
    </row>
    <row r="71" spans="1:14" x14ac:dyDescent="0.3">
      <c r="A71" s="124" t="s">
        <v>2304</v>
      </c>
      <c r="B71" s="124" t="s">
        <v>1040</v>
      </c>
      <c r="C71" s="124" t="s">
        <v>550</v>
      </c>
      <c r="D71" s="125" t="s">
        <v>2017</v>
      </c>
      <c r="E71" s="125">
        <v>90</v>
      </c>
      <c r="F71" s="125" t="s">
        <v>509</v>
      </c>
      <c r="G71" s="310">
        <v>44167</v>
      </c>
      <c r="H71" s="462">
        <f t="shared" si="2"/>
        <v>49</v>
      </c>
      <c r="I71" s="312">
        <v>30</v>
      </c>
      <c r="J71" s="312">
        <v>549</v>
      </c>
      <c r="K71" s="311">
        <f t="shared" si="3"/>
        <v>16470</v>
      </c>
      <c r="L71" s="310">
        <v>44083</v>
      </c>
      <c r="M71" s="310">
        <v>44169</v>
      </c>
      <c r="N71" s="314"/>
    </row>
    <row r="72" spans="1:14" x14ac:dyDescent="0.3">
      <c r="A72" s="124" t="s">
        <v>1967</v>
      </c>
      <c r="B72" s="124" t="s">
        <v>1040</v>
      </c>
      <c r="C72" s="124" t="s">
        <v>550</v>
      </c>
      <c r="D72" s="125" t="s">
        <v>2017</v>
      </c>
      <c r="E72" s="125">
        <v>90</v>
      </c>
      <c r="F72" s="125" t="s">
        <v>509</v>
      </c>
      <c r="G72" s="310">
        <v>44167</v>
      </c>
      <c r="H72" s="462">
        <f t="shared" si="2"/>
        <v>49</v>
      </c>
      <c r="I72" s="312">
        <v>30</v>
      </c>
      <c r="J72" s="312">
        <v>549</v>
      </c>
      <c r="K72" s="311">
        <f t="shared" si="3"/>
        <v>16470</v>
      </c>
      <c r="L72" s="310">
        <v>44083</v>
      </c>
      <c r="M72" s="310">
        <v>44169</v>
      </c>
      <c r="N72" s="314"/>
    </row>
    <row r="73" spans="1:14" x14ac:dyDescent="0.3">
      <c r="A73" s="124" t="s">
        <v>1968</v>
      </c>
      <c r="B73" s="124" t="s">
        <v>1040</v>
      </c>
      <c r="C73" s="124" t="s">
        <v>550</v>
      </c>
      <c r="D73" s="125" t="s">
        <v>2017</v>
      </c>
      <c r="E73" s="125">
        <v>90</v>
      </c>
      <c r="F73" s="125" t="s">
        <v>509</v>
      </c>
      <c r="G73" s="310">
        <v>44167</v>
      </c>
      <c r="H73" s="462">
        <f t="shared" si="2"/>
        <v>49</v>
      </c>
      <c r="I73" s="312">
        <v>30</v>
      </c>
      <c r="J73" s="312">
        <v>549</v>
      </c>
      <c r="K73" s="311">
        <f t="shared" si="3"/>
        <v>16470</v>
      </c>
      <c r="L73" s="310">
        <v>44083</v>
      </c>
      <c r="M73" s="310">
        <v>44169</v>
      </c>
      <c r="N73" s="314"/>
    </row>
    <row r="74" spans="1:14" x14ac:dyDescent="0.3">
      <c r="A74" s="331" t="s">
        <v>2285</v>
      </c>
      <c r="B74" s="124" t="s">
        <v>1691</v>
      </c>
      <c r="C74" s="124" t="s">
        <v>1511</v>
      </c>
      <c r="D74" s="125" t="s">
        <v>2384</v>
      </c>
      <c r="E74" s="125" t="s">
        <v>5</v>
      </c>
      <c r="F74" s="125"/>
      <c r="G74" s="310">
        <v>44151</v>
      </c>
      <c r="H74" s="462">
        <f t="shared" si="2"/>
        <v>47</v>
      </c>
      <c r="I74" s="311">
        <v>4.72</v>
      </c>
      <c r="J74" s="311">
        <v>133.22999999999999</v>
      </c>
      <c r="K74" s="311">
        <f t="shared" si="3"/>
        <v>628.84559999999988</v>
      </c>
      <c r="L74" s="310">
        <v>44148</v>
      </c>
      <c r="M74" s="310">
        <v>44169</v>
      </c>
      <c r="N74" s="314"/>
    </row>
    <row r="75" spans="1:14" x14ac:dyDescent="0.3">
      <c r="A75" s="331" t="s">
        <v>2348</v>
      </c>
      <c r="B75" s="124" t="s">
        <v>1691</v>
      </c>
      <c r="C75" s="124" t="s">
        <v>1511</v>
      </c>
      <c r="D75" s="313" t="s">
        <v>2411</v>
      </c>
      <c r="E75" s="313" t="s">
        <v>5</v>
      </c>
      <c r="F75" s="313"/>
      <c r="G75" s="310">
        <v>44159</v>
      </c>
      <c r="H75" s="462">
        <f t="shared" si="2"/>
        <v>48</v>
      </c>
      <c r="I75" s="311">
        <v>4.72</v>
      </c>
      <c r="J75" s="311">
        <v>133.22999999999999</v>
      </c>
      <c r="K75" s="311">
        <f t="shared" si="3"/>
        <v>628.84559999999988</v>
      </c>
      <c r="L75" s="310">
        <v>44155</v>
      </c>
      <c r="M75" s="310">
        <v>44169</v>
      </c>
      <c r="N75" s="314"/>
    </row>
    <row r="76" spans="1:14" x14ac:dyDescent="0.3">
      <c r="A76" s="331" t="s">
        <v>2382</v>
      </c>
      <c r="B76" s="124" t="s">
        <v>1691</v>
      </c>
      <c r="C76" s="124" t="s">
        <v>1511</v>
      </c>
      <c r="D76" s="313" t="s">
        <v>2412</v>
      </c>
      <c r="E76" s="313" t="s">
        <v>5</v>
      </c>
      <c r="F76" s="313"/>
      <c r="G76" s="310">
        <v>44159</v>
      </c>
      <c r="H76" s="462">
        <f t="shared" si="2"/>
        <v>48</v>
      </c>
      <c r="I76" s="311">
        <v>4.72</v>
      </c>
      <c r="J76" s="311">
        <v>133.22999999999999</v>
      </c>
      <c r="K76" s="311">
        <f t="shared" si="3"/>
        <v>628.84559999999988</v>
      </c>
      <c r="L76" s="310">
        <v>44155</v>
      </c>
      <c r="M76" s="310">
        <v>44169</v>
      </c>
      <c r="N76" s="314"/>
    </row>
    <row r="77" spans="1:14" x14ac:dyDescent="0.3">
      <c r="A77" s="331" t="s">
        <v>2389</v>
      </c>
      <c r="B77" s="124" t="s">
        <v>1691</v>
      </c>
      <c r="C77" s="331" t="s">
        <v>1511</v>
      </c>
      <c r="D77" s="313" t="s">
        <v>2413</v>
      </c>
      <c r="E77" s="313" t="s">
        <v>5</v>
      </c>
      <c r="F77" s="313"/>
      <c r="G77" s="310">
        <v>44159</v>
      </c>
      <c r="H77" s="462">
        <f t="shared" si="2"/>
        <v>48</v>
      </c>
      <c r="I77" s="311">
        <v>4.72</v>
      </c>
      <c r="J77" s="311">
        <v>133.22999999999999</v>
      </c>
      <c r="K77" s="311">
        <f t="shared" si="3"/>
        <v>628.84559999999988</v>
      </c>
      <c r="L77" s="310">
        <v>44155</v>
      </c>
      <c r="M77" s="310">
        <v>44169</v>
      </c>
      <c r="N77" s="314"/>
    </row>
    <row r="78" spans="1:14" x14ac:dyDescent="0.3">
      <c r="A78" s="124" t="s">
        <v>2022</v>
      </c>
      <c r="B78" s="124" t="s">
        <v>1691</v>
      </c>
      <c r="C78" s="124" t="s">
        <v>1511</v>
      </c>
      <c r="D78" s="125" t="s">
        <v>2414</v>
      </c>
      <c r="E78" s="125" t="s">
        <v>5</v>
      </c>
      <c r="F78" s="125"/>
      <c r="G78" s="310">
        <v>44159</v>
      </c>
      <c r="H78" s="462">
        <f t="shared" si="2"/>
        <v>48</v>
      </c>
      <c r="I78" s="312">
        <f>6.1-5.39</f>
        <v>0.71</v>
      </c>
      <c r="J78" s="312">
        <v>134.88</v>
      </c>
      <c r="K78" s="311">
        <f t="shared" si="3"/>
        <v>95.764799999999994</v>
      </c>
      <c r="L78" s="310">
        <v>44155</v>
      </c>
      <c r="M78" s="310">
        <v>44169</v>
      </c>
      <c r="N78" s="314"/>
    </row>
    <row r="79" spans="1:14" x14ac:dyDescent="0.3">
      <c r="A79" s="124" t="s">
        <v>1969</v>
      </c>
      <c r="B79" s="124" t="s">
        <v>1970</v>
      </c>
      <c r="C79" s="124" t="s">
        <v>550</v>
      </c>
      <c r="D79" s="125" t="s">
        <v>2018</v>
      </c>
      <c r="E79" s="125">
        <v>90</v>
      </c>
      <c r="F79" s="125" t="s">
        <v>509</v>
      </c>
      <c r="G79" s="310">
        <v>44165</v>
      </c>
      <c r="H79" s="462">
        <f t="shared" si="2"/>
        <v>49</v>
      </c>
      <c r="I79" s="312">
        <v>5.5</v>
      </c>
      <c r="J79" s="312">
        <v>1150</v>
      </c>
      <c r="K79" s="311">
        <f t="shared" si="3"/>
        <v>6325</v>
      </c>
      <c r="L79" s="327">
        <v>44084</v>
      </c>
      <c r="M79" s="310">
        <v>44174</v>
      </c>
      <c r="N79" s="329"/>
    </row>
    <row r="80" spans="1:14" x14ac:dyDescent="0.3">
      <c r="A80" s="331" t="s">
        <v>2391</v>
      </c>
      <c r="B80" s="124" t="s">
        <v>2393</v>
      </c>
      <c r="C80" s="331" t="s">
        <v>1842</v>
      </c>
      <c r="D80" s="313" t="s">
        <v>2421</v>
      </c>
      <c r="E80" s="313">
        <v>15</v>
      </c>
      <c r="F80" s="313" t="s">
        <v>1978</v>
      </c>
      <c r="G80" s="310">
        <v>44170</v>
      </c>
      <c r="H80" s="462">
        <f t="shared" si="2"/>
        <v>49</v>
      </c>
      <c r="I80" s="311">
        <v>400</v>
      </c>
      <c r="J80" s="311">
        <v>315</v>
      </c>
      <c r="K80" s="311">
        <f t="shared" si="3"/>
        <v>126000</v>
      </c>
      <c r="L80" s="310">
        <v>44159</v>
      </c>
      <c r="M80" s="310">
        <v>44176</v>
      </c>
      <c r="N80" s="314"/>
    </row>
    <row r="81" spans="1:14" ht="15" x14ac:dyDescent="0.25">
      <c r="A81" s="331" t="s">
        <v>2392</v>
      </c>
      <c r="B81" s="124" t="s">
        <v>2433</v>
      </c>
      <c r="C81" s="331" t="s">
        <v>1842</v>
      </c>
      <c r="D81" s="313" t="s">
        <v>2422</v>
      </c>
      <c r="E81" s="313">
        <v>15</v>
      </c>
      <c r="F81" s="313" t="s">
        <v>1978</v>
      </c>
      <c r="G81" s="310">
        <v>44170</v>
      </c>
      <c r="H81" s="462">
        <f t="shared" si="2"/>
        <v>49</v>
      </c>
      <c r="I81" s="311">
        <v>400</v>
      </c>
      <c r="J81" s="311">
        <v>315</v>
      </c>
      <c r="K81" s="311">
        <f t="shared" si="3"/>
        <v>126000</v>
      </c>
      <c r="L81" s="310">
        <v>44159</v>
      </c>
      <c r="M81" s="310">
        <v>44176</v>
      </c>
      <c r="N81" s="314"/>
    </row>
    <row r="82" spans="1:14" ht="15" x14ac:dyDescent="0.25">
      <c r="A82" s="331" t="s">
        <v>2423</v>
      </c>
      <c r="B82" s="124" t="s">
        <v>2433</v>
      </c>
      <c r="C82" s="331" t="s">
        <v>1842</v>
      </c>
      <c r="D82" s="313" t="s">
        <v>2435</v>
      </c>
      <c r="E82" s="313">
        <v>15</v>
      </c>
      <c r="F82" s="313" t="s">
        <v>1978</v>
      </c>
      <c r="G82" s="310">
        <v>44170</v>
      </c>
      <c r="H82" s="462">
        <f t="shared" si="2"/>
        <v>49</v>
      </c>
      <c r="I82" s="311">
        <v>800</v>
      </c>
      <c r="J82" s="311">
        <v>305</v>
      </c>
      <c r="K82" s="311">
        <f t="shared" si="3"/>
        <v>244000</v>
      </c>
      <c r="L82" s="310">
        <v>44162</v>
      </c>
      <c r="M82" s="310">
        <v>44176</v>
      </c>
      <c r="N82" s="314"/>
    </row>
    <row r="83" spans="1:14" ht="15" x14ac:dyDescent="0.25">
      <c r="A83" s="331" t="s">
        <v>2424</v>
      </c>
      <c r="B83" s="124" t="s">
        <v>2433</v>
      </c>
      <c r="C83" s="331" t="s">
        <v>1842</v>
      </c>
      <c r="D83" s="313" t="s">
        <v>2435</v>
      </c>
      <c r="E83" s="313">
        <v>15</v>
      </c>
      <c r="F83" s="313" t="s">
        <v>1978</v>
      </c>
      <c r="G83" s="310">
        <v>44170</v>
      </c>
      <c r="H83" s="462">
        <f t="shared" si="2"/>
        <v>49</v>
      </c>
      <c r="I83" s="311">
        <v>200</v>
      </c>
      <c r="J83" s="311">
        <v>305</v>
      </c>
      <c r="K83" s="311">
        <f t="shared" si="3"/>
        <v>61000</v>
      </c>
      <c r="L83" s="310">
        <v>44162</v>
      </c>
      <c r="M83" s="310">
        <v>44176</v>
      </c>
      <c r="N83" s="314"/>
    </row>
    <row r="84" spans="1:14" x14ac:dyDescent="0.3">
      <c r="A84" s="331" t="s">
        <v>2425</v>
      </c>
      <c r="B84" s="124" t="s">
        <v>2393</v>
      </c>
      <c r="C84" s="331" t="s">
        <v>1842</v>
      </c>
      <c r="D84" s="313" t="s">
        <v>2434</v>
      </c>
      <c r="E84" s="313">
        <v>15</v>
      </c>
      <c r="F84" s="313" t="s">
        <v>1978</v>
      </c>
      <c r="G84" s="310">
        <v>44170</v>
      </c>
      <c r="H84" s="462">
        <f t="shared" si="2"/>
        <v>49</v>
      </c>
      <c r="I84" s="311">
        <v>100</v>
      </c>
      <c r="J84" s="311">
        <v>315</v>
      </c>
      <c r="K84" s="311">
        <f t="shared" si="3"/>
        <v>31500</v>
      </c>
      <c r="L84" s="310">
        <v>44161</v>
      </c>
      <c r="M84" s="310">
        <v>44176</v>
      </c>
      <c r="N84" s="314"/>
    </row>
    <row r="85" spans="1:14" x14ac:dyDescent="0.3">
      <c r="A85" s="331" t="s">
        <v>2426</v>
      </c>
      <c r="B85" s="124" t="s">
        <v>2393</v>
      </c>
      <c r="C85" s="331" t="s">
        <v>1842</v>
      </c>
      <c r="D85" s="313" t="s">
        <v>2434</v>
      </c>
      <c r="E85" s="313">
        <v>15</v>
      </c>
      <c r="F85" s="313" t="s">
        <v>1978</v>
      </c>
      <c r="G85" s="310">
        <v>44170</v>
      </c>
      <c r="H85" s="462">
        <f t="shared" si="2"/>
        <v>49</v>
      </c>
      <c r="I85" s="311">
        <v>100</v>
      </c>
      <c r="J85" s="311">
        <v>315</v>
      </c>
      <c r="K85" s="311">
        <f t="shared" si="3"/>
        <v>31500</v>
      </c>
      <c r="L85" s="310">
        <v>44161</v>
      </c>
      <c r="M85" s="310">
        <v>44176</v>
      </c>
      <c r="N85" s="314"/>
    </row>
    <row r="86" spans="1:14" x14ac:dyDescent="0.3">
      <c r="A86" s="124" t="s">
        <v>1979</v>
      </c>
      <c r="B86" s="124" t="s">
        <v>1970</v>
      </c>
      <c r="C86" s="124" t="s">
        <v>550</v>
      </c>
      <c r="D86" s="125" t="s">
        <v>2056</v>
      </c>
      <c r="E86" s="125">
        <v>90</v>
      </c>
      <c r="F86" s="125" t="s">
        <v>509</v>
      </c>
      <c r="G86" s="310">
        <v>44179</v>
      </c>
      <c r="H86" s="462">
        <f t="shared" si="2"/>
        <v>51</v>
      </c>
      <c r="I86" s="312">
        <v>5</v>
      </c>
      <c r="J86" s="312">
        <v>1150</v>
      </c>
      <c r="K86" s="311">
        <f t="shared" si="3"/>
        <v>5750</v>
      </c>
      <c r="L86" s="310">
        <v>44098</v>
      </c>
      <c r="M86" s="310">
        <v>44181</v>
      </c>
      <c r="N86" s="314"/>
    </row>
    <row r="87" spans="1:14" x14ac:dyDescent="0.3">
      <c r="A87" s="331" t="s">
        <v>2483</v>
      </c>
      <c r="B87" s="124" t="s">
        <v>2485</v>
      </c>
      <c r="C87" s="331" t="s">
        <v>1511</v>
      </c>
      <c r="D87" s="313" t="s">
        <v>2492</v>
      </c>
      <c r="E87" s="313" t="s">
        <v>5</v>
      </c>
      <c r="F87" s="313"/>
      <c r="G87" s="310">
        <v>44176</v>
      </c>
      <c r="H87" s="462">
        <f t="shared" si="2"/>
        <v>50</v>
      </c>
      <c r="I87" s="311">
        <v>1000</v>
      </c>
      <c r="J87" s="311">
        <v>5.3650000000000002</v>
      </c>
      <c r="K87" s="311">
        <f t="shared" si="3"/>
        <v>5365</v>
      </c>
      <c r="L87" s="310">
        <v>44172</v>
      </c>
      <c r="M87" s="310">
        <v>44181</v>
      </c>
      <c r="N87" s="314"/>
    </row>
    <row r="88" spans="1:14" ht="15" x14ac:dyDescent="0.25">
      <c r="A88" s="331" t="s">
        <v>2346</v>
      </c>
      <c r="B88" s="124" t="s">
        <v>2034</v>
      </c>
      <c r="C88" s="124" t="s">
        <v>506</v>
      </c>
      <c r="D88" s="313" t="s">
        <v>2379</v>
      </c>
      <c r="E88" s="313">
        <v>45</v>
      </c>
      <c r="F88" s="313" t="s">
        <v>1978</v>
      </c>
      <c r="G88" s="310">
        <v>44190</v>
      </c>
      <c r="H88" s="462">
        <f t="shared" si="2"/>
        <v>52</v>
      </c>
      <c r="I88" s="311">
        <v>20</v>
      </c>
      <c r="J88" s="311">
        <v>308</v>
      </c>
      <c r="K88" s="311">
        <f t="shared" si="3"/>
        <v>6160</v>
      </c>
      <c r="L88" s="310">
        <v>44146</v>
      </c>
      <c r="M88" s="310">
        <v>44188</v>
      </c>
      <c r="N88" s="314"/>
    </row>
    <row r="89" spans="1:14" x14ac:dyDescent="0.3">
      <c r="A89" s="331" t="s">
        <v>2427</v>
      </c>
      <c r="B89" s="124" t="s">
        <v>2432</v>
      </c>
      <c r="C89" s="331" t="s">
        <v>2431</v>
      </c>
      <c r="D89" s="313" t="s">
        <v>2437</v>
      </c>
      <c r="E89" s="313">
        <v>30</v>
      </c>
      <c r="F89" s="313" t="s">
        <v>1978</v>
      </c>
      <c r="G89" s="310">
        <v>44190</v>
      </c>
      <c r="H89" s="462">
        <f t="shared" si="2"/>
        <v>52</v>
      </c>
      <c r="I89" s="311">
        <v>30</v>
      </c>
      <c r="J89" s="311">
        <v>540</v>
      </c>
      <c r="K89" s="311">
        <f t="shared" si="3"/>
        <v>16200</v>
      </c>
      <c r="L89" s="310">
        <v>44162</v>
      </c>
      <c r="M89" s="310">
        <v>44188</v>
      </c>
      <c r="N89" s="314"/>
    </row>
    <row r="90" spans="1:14" s="129" customFormat="1" x14ac:dyDescent="0.3">
      <c r="A90" s="331" t="s">
        <v>2430</v>
      </c>
      <c r="B90" s="124" t="s">
        <v>2432</v>
      </c>
      <c r="C90" s="331" t="s">
        <v>2431</v>
      </c>
      <c r="D90" s="125" t="s">
        <v>2438</v>
      </c>
      <c r="E90" s="125">
        <v>30</v>
      </c>
      <c r="F90" s="125" t="s">
        <v>1978</v>
      </c>
      <c r="G90" s="310">
        <v>44190</v>
      </c>
      <c r="H90" s="462">
        <f t="shared" si="2"/>
        <v>52</v>
      </c>
      <c r="I90" s="311">
        <v>30</v>
      </c>
      <c r="J90" s="311">
        <v>540</v>
      </c>
      <c r="K90" s="311">
        <f t="shared" si="3"/>
        <v>16200</v>
      </c>
      <c r="L90" s="310">
        <v>44162</v>
      </c>
      <c r="M90" s="310">
        <v>44188</v>
      </c>
      <c r="N90" s="329"/>
    </row>
    <row r="91" spans="1:14" ht="15" x14ac:dyDescent="0.25">
      <c r="A91" s="331" t="s">
        <v>2390</v>
      </c>
      <c r="B91" s="124" t="s">
        <v>504</v>
      </c>
      <c r="C91" s="331" t="s">
        <v>1836</v>
      </c>
      <c r="D91" s="313" t="s">
        <v>2418</v>
      </c>
      <c r="E91" s="313">
        <v>30</v>
      </c>
      <c r="F91" s="313" t="s">
        <v>1978</v>
      </c>
      <c r="G91" s="310">
        <v>44185</v>
      </c>
      <c r="H91" s="462">
        <f t="shared" si="2"/>
        <v>52</v>
      </c>
      <c r="I91" s="311">
        <v>30</v>
      </c>
      <c r="J91" s="311">
        <v>1950</v>
      </c>
      <c r="K91" s="311">
        <f t="shared" si="3"/>
        <v>58500</v>
      </c>
      <c r="L91" s="310">
        <v>44155</v>
      </c>
      <c r="M91" s="310">
        <v>44188</v>
      </c>
      <c r="N91" s="314"/>
    </row>
    <row r="92" spans="1:14" ht="15" x14ac:dyDescent="0.25">
      <c r="A92" s="331" t="s">
        <v>2486</v>
      </c>
      <c r="B92" s="124" t="s">
        <v>504</v>
      </c>
      <c r="C92" s="331" t="s">
        <v>1836</v>
      </c>
      <c r="D92" s="313" t="s">
        <v>2498</v>
      </c>
      <c r="E92" s="313">
        <v>30</v>
      </c>
      <c r="F92" s="313" t="s">
        <v>1978</v>
      </c>
      <c r="G92" s="310">
        <v>44201</v>
      </c>
      <c r="H92" s="462">
        <f t="shared" si="2"/>
        <v>2</v>
      </c>
      <c r="I92" s="311">
        <v>30</v>
      </c>
      <c r="J92" s="311">
        <v>2050</v>
      </c>
      <c r="K92" s="311">
        <f t="shared" si="3"/>
        <v>61500</v>
      </c>
      <c r="L92" s="310">
        <v>44175</v>
      </c>
      <c r="M92" s="310">
        <v>44188</v>
      </c>
      <c r="N92" s="314"/>
    </row>
    <row r="93" spans="1:14" ht="14.1" customHeight="1" x14ac:dyDescent="0.25">
      <c r="A93" s="331" t="s">
        <v>2487</v>
      </c>
      <c r="B93" s="124" t="s">
        <v>504</v>
      </c>
      <c r="C93" s="331" t="s">
        <v>1836</v>
      </c>
      <c r="D93" s="313" t="s">
        <v>2536</v>
      </c>
      <c r="E93" s="313">
        <v>30</v>
      </c>
      <c r="F93" s="313" t="s">
        <v>1978</v>
      </c>
      <c r="G93" s="310">
        <v>44206</v>
      </c>
      <c r="H93" s="462">
        <f t="shared" si="2"/>
        <v>3</v>
      </c>
      <c r="I93" s="311">
        <v>30</v>
      </c>
      <c r="J93" s="311">
        <v>2050</v>
      </c>
      <c r="K93" s="311">
        <f t="shared" si="3"/>
        <v>61500</v>
      </c>
      <c r="L93" s="310">
        <v>44180</v>
      </c>
      <c r="M93" s="310">
        <v>44188</v>
      </c>
      <c r="N93" s="314"/>
    </row>
    <row r="94" spans="1:14" x14ac:dyDescent="0.3">
      <c r="A94" s="331" t="s">
        <v>2557</v>
      </c>
      <c r="B94" s="124" t="s">
        <v>1040</v>
      </c>
      <c r="C94" s="124" t="s">
        <v>550</v>
      </c>
      <c r="D94" s="313" t="s">
        <v>2501</v>
      </c>
      <c r="E94" s="313">
        <v>90</v>
      </c>
      <c r="F94" s="313" t="s">
        <v>1978</v>
      </c>
      <c r="G94" s="310">
        <v>44262</v>
      </c>
      <c r="H94" s="462">
        <f t="shared" si="2"/>
        <v>11</v>
      </c>
      <c r="I94" s="311">
        <v>60</v>
      </c>
      <c r="J94" s="311">
        <v>549</v>
      </c>
      <c r="K94" s="311">
        <f t="shared" si="3"/>
        <v>32940</v>
      </c>
      <c r="L94" s="310">
        <v>44179</v>
      </c>
      <c r="M94" s="310">
        <v>44188</v>
      </c>
      <c r="N94" s="314"/>
    </row>
    <row r="95" spans="1:14" s="129" customFormat="1" ht="15" x14ac:dyDescent="0.25">
      <c r="A95" s="331" t="s">
        <v>2415</v>
      </c>
      <c r="B95" s="124" t="s">
        <v>2030</v>
      </c>
      <c r="C95" s="124" t="s">
        <v>589</v>
      </c>
      <c r="D95" s="125" t="s">
        <v>2439</v>
      </c>
      <c r="E95" s="125">
        <v>30</v>
      </c>
      <c r="F95" s="125" t="s">
        <v>1978</v>
      </c>
      <c r="G95" s="310">
        <v>44190</v>
      </c>
      <c r="H95" s="462">
        <f t="shared" si="2"/>
        <v>52</v>
      </c>
      <c r="I95" s="311">
        <v>30</v>
      </c>
      <c r="J95" s="311">
        <v>570</v>
      </c>
      <c r="K95" s="311">
        <f t="shared" si="3"/>
        <v>17100</v>
      </c>
      <c r="L95" s="310">
        <v>44161</v>
      </c>
      <c r="M95" s="310">
        <v>44553</v>
      </c>
      <c r="N95" s="314"/>
    </row>
    <row r="96" spans="1:14" s="129" customFormat="1" ht="15" x14ac:dyDescent="0.25">
      <c r="A96" s="331" t="s">
        <v>2416</v>
      </c>
      <c r="B96" s="124" t="s">
        <v>2030</v>
      </c>
      <c r="C96" s="124" t="s">
        <v>589</v>
      </c>
      <c r="D96" s="125" t="s">
        <v>2494</v>
      </c>
      <c r="E96" s="125">
        <v>30</v>
      </c>
      <c r="F96" s="125" t="s">
        <v>1978</v>
      </c>
      <c r="G96" s="310">
        <v>44200</v>
      </c>
      <c r="H96" s="462">
        <f t="shared" si="2"/>
        <v>2</v>
      </c>
      <c r="I96" s="311">
        <v>30</v>
      </c>
      <c r="J96" s="311">
        <v>570</v>
      </c>
      <c r="K96" s="311">
        <f t="shared" si="3"/>
        <v>17100</v>
      </c>
      <c r="L96" s="310">
        <v>44174</v>
      </c>
      <c r="M96" s="310">
        <v>44561</v>
      </c>
      <c r="N96" s="314"/>
    </row>
    <row r="97" spans="1:14" s="129" customFormat="1" ht="15" x14ac:dyDescent="0.25">
      <c r="A97" s="331" t="s">
        <v>2428</v>
      </c>
      <c r="B97" s="124" t="s">
        <v>530</v>
      </c>
      <c r="C97" s="331" t="s">
        <v>506</v>
      </c>
      <c r="D97" s="125" t="s">
        <v>2480</v>
      </c>
      <c r="E97" s="125">
        <v>45</v>
      </c>
      <c r="F97" s="125" t="s">
        <v>1978</v>
      </c>
      <c r="G97" s="310">
        <v>44204</v>
      </c>
      <c r="H97" s="462">
        <f t="shared" si="2"/>
        <v>2</v>
      </c>
      <c r="I97" s="311">
        <v>60</v>
      </c>
      <c r="J97" s="311">
        <v>160</v>
      </c>
      <c r="K97" s="311">
        <f t="shared" si="3"/>
        <v>9600</v>
      </c>
      <c r="L97" s="310">
        <v>44165</v>
      </c>
      <c r="M97" s="310">
        <v>44561</v>
      </c>
      <c r="N97" s="314"/>
    </row>
    <row r="98" spans="1:14" s="129" customFormat="1" ht="15" x14ac:dyDescent="0.25">
      <c r="A98" s="331" t="s">
        <v>2429</v>
      </c>
      <c r="B98" s="124" t="s">
        <v>530</v>
      </c>
      <c r="C98" s="331" t="s">
        <v>506</v>
      </c>
      <c r="D98" s="125" t="s">
        <v>2481</v>
      </c>
      <c r="E98" s="125">
        <v>45</v>
      </c>
      <c r="F98" s="125" t="s">
        <v>1978</v>
      </c>
      <c r="G98" s="310">
        <v>44204</v>
      </c>
      <c r="H98" s="462">
        <f t="shared" si="2"/>
        <v>2</v>
      </c>
      <c r="I98" s="311">
        <v>60</v>
      </c>
      <c r="J98" s="311">
        <v>160</v>
      </c>
      <c r="K98" s="311">
        <f t="shared" si="3"/>
        <v>9600</v>
      </c>
      <c r="L98" s="310">
        <v>44165</v>
      </c>
      <c r="M98" s="310">
        <v>44561</v>
      </c>
      <c r="N98" s="314"/>
    </row>
    <row r="99" spans="1:14" s="129" customFormat="1" ht="15" x14ac:dyDescent="0.25">
      <c r="A99" s="331" t="s">
        <v>2581</v>
      </c>
      <c r="B99" s="124" t="s">
        <v>530</v>
      </c>
      <c r="C99" s="331" t="s">
        <v>506</v>
      </c>
      <c r="D99" s="125" t="s">
        <v>2583</v>
      </c>
      <c r="E99" s="125">
        <v>45</v>
      </c>
      <c r="F99" s="125" t="s">
        <v>1978</v>
      </c>
      <c r="G99" s="310">
        <v>44204</v>
      </c>
      <c r="H99" s="462">
        <f t="shared" si="2"/>
        <v>2</v>
      </c>
      <c r="I99" s="311">
        <v>22</v>
      </c>
      <c r="J99" s="311">
        <v>160</v>
      </c>
      <c r="K99" s="311">
        <f t="shared" si="3"/>
        <v>3520</v>
      </c>
      <c r="L99" s="310">
        <v>44165</v>
      </c>
      <c r="M99" s="310">
        <v>44561</v>
      </c>
      <c r="N99" s="314"/>
    </row>
    <row r="100" spans="1:14" s="129" customFormat="1" ht="15" x14ac:dyDescent="0.25">
      <c r="A100" s="331" t="s">
        <v>2582</v>
      </c>
      <c r="B100" s="124" t="s">
        <v>530</v>
      </c>
      <c r="C100" s="331" t="s">
        <v>506</v>
      </c>
      <c r="D100" s="125" t="s">
        <v>2584</v>
      </c>
      <c r="E100" s="125">
        <v>45</v>
      </c>
      <c r="F100" s="125" t="s">
        <v>1978</v>
      </c>
      <c r="G100" s="310">
        <v>44204</v>
      </c>
      <c r="H100" s="462">
        <f t="shared" si="2"/>
        <v>2</v>
      </c>
      <c r="I100" s="311">
        <v>38</v>
      </c>
      <c r="J100" s="311">
        <v>160</v>
      </c>
      <c r="K100" s="311">
        <f t="shared" si="3"/>
        <v>6080</v>
      </c>
      <c r="L100" s="310">
        <v>44165</v>
      </c>
      <c r="M100" s="310">
        <v>44561</v>
      </c>
      <c r="N100" s="314"/>
    </row>
    <row r="101" spans="1:14" s="129" customFormat="1" x14ac:dyDescent="0.3">
      <c r="A101" s="331" t="s">
        <v>2482</v>
      </c>
      <c r="B101" s="124" t="s">
        <v>1691</v>
      </c>
      <c r="C101" s="331" t="s">
        <v>1511</v>
      </c>
      <c r="D101" s="125" t="s">
        <v>2605</v>
      </c>
      <c r="E101" s="125" t="s">
        <v>5</v>
      </c>
      <c r="F101" s="125"/>
      <c r="G101" s="310">
        <v>44183</v>
      </c>
      <c r="H101" s="462">
        <f t="shared" si="2"/>
        <v>51</v>
      </c>
      <c r="I101" s="311">
        <v>3.17</v>
      </c>
      <c r="J101" s="311">
        <v>133.22999999999999</v>
      </c>
      <c r="K101" s="311">
        <f t="shared" si="3"/>
        <v>422.33909999999997</v>
      </c>
      <c r="L101" s="310">
        <v>44183</v>
      </c>
      <c r="M101" s="310">
        <v>44561</v>
      </c>
      <c r="N101" s="314"/>
    </row>
    <row r="102" spans="1:14" s="129" customFormat="1" x14ac:dyDescent="0.3">
      <c r="A102" s="331" t="s">
        <v>2484</v>
      </c>
      <c r="B102" s="124" t="s">
        <v>1691</v>
      </c>
      <c r="C102" s="331" t="s">
        <v>1511</v>
      </c>
      <c r="D102" s="125" t="s">
        <v>2539</v>
      </c>
      <c r="E102" s="125" t="s">
        <v>5</v>
      </c>
      <c r="F102" s="125"/>
      <c r="G102" s="310">
        <v>44186</v>
      </c>
      <c r="H102" s="462">
        <f t="shared" si="2"/>
        <v>52</v>
      </c>
      <c r="I102" s="311">
        <v>3.17</v>
      </c>
      <c r="J102" s="311">
        <v>133.22999999999999</v>
      </c>
      <c r="K102" s="311">
        <f t="shared" si="3"/>
        <v>422.33909999999997</v>
      </c>
      <c r="L102" s="310">
        <v>44183</v>
      </c>
      <c r="M102" s="310">
        <v>44561</v>
      </c>
      <c r="N102" s="314"/>
    </row>
    <row r="103" spans="1:14" s="129" customFormat="1" x14ac:dyDescent="0.3">
      <c r="A103" s="124" t="s">
        <v>2488</v>
      </c>
      <c r="B103" s="124" t="s">
        <v>1691</v>
      </c>
      <c r="C103" s="124" t="s">
        <v>1511</v>
      </c>
      <c r="D103" s="125" t="s">
        <v>2540</v>
      </c>
      <c r="E103" s="125" t="s">
        <v>5</v>
      </c>
      <c r="F103" s="125"/>
      <c r="G103" s="310">
        <v>44186</v>
      </c>
      <c r="H103" s="462">
        <f t="shared" si="2"/>
        <v>52</v>
      </c>
      <c r="I103" s="311">
        <v>3.17</v>
      </c>
      <c r="J103" s="311">
        <v>133.22999999999999</v>
      </c>
      <c r="K103" s="311">
        <f t="shared" si="3"/>
        <v>422.33909999999997</v>
      </c>
      <c r="L103" s="310">
        <v>44183</v>
      </c>
      <c r="M103" s="310">
        <v>44561</v>
      </c>
      <c r="N103" s="314"/>
    </row>
    <row r="104" spans="1:14" s="129" customFormat="1" x14ac:dyDescent="0.3">
      <c r="A104" s="331" t="s">
        <v>2493</v>
      </c>
      <c r="B104" s="124" t="s">
        <v>1691</v>
      </c>
      <c r="C104" s="331" t="s">
        <v>1511</v>
      </c>
      <c r="D104" s="125" t="s">
        <v>2541</v>
      </c>
      <c r="E104" s="125" t="s">
        <v>5</v>
      </c>
      <c r="F104" s="125"/>
      <c r="G104" s="310">
        <v>44186</v>
      </c>
      <c r="H104" s="462">
        <f t="shared" si="2"/>
        <v>52</v>
      </c>
      <c r="I104" s="311">
        <v>3.09</v>
      </c>
      <c r="J104" s="311">
        <v>133.22999999999999</v>
      </c>
      <c r="K104" s="311">
        <f t="shared" si="3"/>
        <v>411.68069999999994</v>
      </c>
      <c r="L104" s="310">
        <v>44183</v>
      </c>
      <c r="M104" s="310">
        <v>44561</v>
      </c>
      <c r="N104" s="314"/>
    </row>
    <row r="105" spans="1:14" s="129" customFormat="1" x14ac:dyDescent="0.3">
      <c r="A105" s="331" t="s">
        <v>2495</v>
      </c>
      <c r="B105" s="124" t="s">
        <v>1691</v>
      </c>
      <c r="C105" s="331" t="s">
        <v>1511</v>
      </c>
      <c r="D105" s="125" t="s">
        <v>2542</v>
      </c>
      <c r="E105" s="125" t="s">
        <v>5</v>
      </c>
      <c r="F105" s="125"/>
      <c r="G105" s="310">
        <v>44186</v>
      </c>
      <c r="H105" s="462">
        <f t="shared" si="2"/>
        <v>52</v>
      </c>
      <c r="I105" s="311">
        <v>3.17</v>
      </c>
      <c r="J105" s="311">
        <v>133.22999999999999</v>
      </c>
      <c r="K105" s="311">
        <f t="shared" si="3"/>
        <v>422.33909999999997</v>
      </c>
      <c r="L105" s="310">
        <v>44183</v>
      </c>
      <c r="M105" s="310">
        <v>44561</v>
      </c>
      <c r="N105" s="314"/>
    </row>
    <row r="106" spans="1:14" s="129" customFormat="1" x14ac:dyDescent="0.3">
      <c r="A106" s="331" t="s">
        <v>2500</v>
      </c>
      <c r="B106" s="124" t="s">
        <v>1691</v>
      </c>
      <c r="C106" s="331" t="s">
        <v>1511</v>
      </c>
      <c r="D106" s="125" t="s">
        <v>2543</v>
      </c>
      <c r="E106" s="125" t="s">
        <v>5</v>
      </c>
      <c r="F106" s="125"/>
      <c r="G106" s="310">
        <v>44186</v>
      </c>
      <c r="H106" s="462">
        <f t="shared" si="2"/>
        <v>52</v>
      </c>
      <c r="I106" s="311">
        <v>3.17</v>
      </c>
      <c r="J106" s="311">
        <v>133.22999999999999</v>
      </c>
      <c r="K106" s="311">
        <f t="shared" si="3"/>
        <v>422.33909999999997</v>
      </c>
      <c r="L106" s="310">
        <v>44183</v>
      </c>
      <c r="M106" s="310">
        <v>44561</v>
      </c>
      <c r="N106" s="314"/>
    </row>
    <row r="107" spans="1:14" s="129" customFormat="1" ht="15" x14ac:dyDescent="0.25">
      <c r="A107" s="331" t="s">
        <v>2529</v>
      </c>
      <c r="B107" s="124" t="s">
        <v>2532</v>
      </c>
      <c r="C107" s="331" t="s">
        <v>1842</v>
      </c>
      <c r="D107" s="348" t="s">
        <v>2544</v>
      </c>
      <c r="E107" s="125">
        <v>15</v>
      </c>
      <c r="F107" s="125" t="s">
        <v>1978</v>
      </c>
      <c r="G107" s="310">
        <v>44198</v>
      </c>
      <c r="H107" s="462">
        <f t="shared" si="2"/>
        <v>1</v>
      </c>
      <c r="I107" s="311">
        <v>309</v>
      </c>
      <c r="J107" s="311">
        <v>293</v>
      </c>
      <c r="K107" s="311">
        <f t="shared" si="3"/>
        <v>90537</v>
      </c>
      <c r="L107" s="310">
        <v>44186</v>
      </c>
      <c r="M107" s="310">
        <v>44561</v>
      </c>
      <c r="N107" s="314"/>
    </row>
    <row r="108" spans="1:14" s="129" customFormat="1" ht="15" x14ac:dyDescent="0.25">
      <c r="A108" s="331" t="s">
        <v>2530</v>
      </c>
      <c r="B108" s="124" t="s">
        <v>2533</v>
      </c>
      <c r="C108" s="331" t="s">
        <v>1842</v>
      </c>
      <c r="D108" s="348" t="s">
        <v>2545</v>
      </c>
      <c r="E108" s="125">
        <v>15</v>
      </c>
      <c r="F108" s="125" t="s">
        <v>1978</v>
      </c>
      <c r="G108" s="310">
        <v>44197</v>
      </c>
      <c r="H108" s="462">
        <f t="shared" si="2"/>
        <v>1</v>
      </c>
      <c r="I108" s="311">
        <v>161</v>
      </c>
      <c r="J108" s="311">
        <v>293</v>
      </c>
      <c r="K108" s="311">
        <f t="shared" si="3"/>
        <v>47173</v>
      </c>
      <c r="L108" s="310">
        <v>44186</v>
      </c>
      <c r="M108" s="310">
        <v>44561</v>
      </c>
      <c r="N108" s="314"/>
    </row>
    <row r="109" spans="1:14" s="129" customFormat="1" ht="15" x14ac:dyDescent="0.25">
      <c r="A109" s="331" t="s">
        <v>2531</v>
      </c>
      <c r="B109" s="124" t="s">
        <v>2534</v>
      </c>
      <c r="C109" s="331" t="s">
        <v>1842</v>
      </c>
      <c r="D109" s="348" t="s">
        <v>2546</v>
      </c>
      <c r="E109" s="125">
        <v>15</v>
      </c>
      <c r="F109" s="125" t="s">
        <v>1978</v>
      </c>
      <c r="G109" s="310">
        <v>44197</v>
      </c>
      <c r="H109" s="462">
        <f t="shared" si="2"/>
        <v>1</v>
      </c>
      <c r="I109" s="311">
        <v>100</v>
      </c>
      <c r="J109" s="311">
        <v>293</v>
      </c>
      <c r="K109" s="311">
        <f t="shared" si="3"/>
        <v>29300</v>
      </c>
      <c r="L109" s="310">
        <v>44186</v>
      </c>
      <c r="M109" s="310">
        <v>44561</v>
      </c>
      <c r="N109" s="314"/>
    </row>
    <row r="110" spans="1:14" s="129" customFormat="1" ht="15" x14ac:dyDescent="0.25">
      <c r="A110" s="331" t="s">
        <v>2550</v>
      </c>
      <c r="B110" s="124" t="s">
        <v>2535</v>
      </c>
      <c r="C110" s="331" t="s">
        <v>1842</v>
      </c>
      <c r="D110" s="348" t="s">
        <v>2547</v>
      </c>
      <c r="E110" s="125">
        <v>15</v>
      </c>
      <c r="F110" s="125" t="s">
        <v>1978</v>
      </c>
      <c r="G110" s="310">
        <v>44198</v>
      </c>
      <c r="H110" s="462">
        <f t="shared" si="2"/>
        <v>1</v>
      </c>
      <c r="I110" s="311">
        <v>60</v>
      </c>
      <c r="J110" s="311">
        <v>293</v>
      </c>
      <c r="K110" s="311">
        <f t="shared" si="3"/>
        <v>17580</v>
      </c>
      <c r="L110" s="310">
        <v>44186</v>
      </c>
      <c r="M110" s="310">
        <v>44561</v>
      </c>
      <c r="N110" s="314"/>
    </row>
    <row r="111" spans="1:14" s="129" customFormat="1" ht="15" x14ac:dyDescent="0.25">
      <c r="A111" s="331" t="s">
        <v>2551</v>
      </c>
      <c r="B111" s="124" t="s">
        <v>2535</v>
      </c>
      <c r="C111" s="331" t="s">
        <v>1842</v>
      </c>
      <c r="D111" s="348" t="s">
        <v>2547</v>
      </c>
      <c r="E111" s="125">
        <v>15</v>
      </c>
      <c r="F111" s="125" t="s">
        <v>1978</v>
      </c>
      <c r="G111" s="310">
        <v>44198</v>
      </c>
      <c r="H111" s="462">
        <f t="shared" si="2"/>
        <v>1</v>
      </c>
      <c r="I111" s="311">
        <v>170</v>
      </c>
      <c r="J111" s="311">
        <v>293</v>
      </c>
      <c r="K111" s="311">
        <f t="shared" si="3"/>
        <v>49810</v>
      </c>
      <c r="L111" s="310">
        <v>44186</v>
      </c>
      <c r="M111" s="310">
        <v>44561</v>
      </c>
      <c r="N111" s="314"/>
    </row>
    <row r="112" spans="1:14" x14ac:dyDescent="0.3">
      <c r="A112" s="331" t="s">
        <v>2417</v>
      </c>
      <c r="B112" s="124" t="s">
        <v>1691</v>
      </c>
      <c r="C112" s="331" t="s">
        <v>1511</v>
      </c>
      <c r="D112" s="313" t="s">
        <v>2537</v>
      </c>
      <c r="E112" s="313" t="s">
        <v>5</v>
      </c>
      <c r="F112" s="313"/>
      <c r="G112" s="310">
        <v>44183</v>
      </c>
      <c r="H112" s="462">
        <f t="shared" si="2"/>
        <v>51</v>
      </c>
      <c r="I112" s="311">
        <v>4.96</v>
      </c>
      <c r="J112" s="311">
        <v>133.22999999999999</v>
      </c>
      <c r="K112" s="311">
        <f t="shared" si="3"/>
        <v>660.82079999999996</v>
      </c>
      <c r="L112" s="310">
        <v>44183</v>
      </c>
      <c r="M112" s="310">
        <v>44561</v>
      </c>
      <c r="N112" s="314"/>
    </row>
    <row r="113" spans="1:14" s="129" customFormat="1" ht="15" x14ac:dyDescent="0.25">
      <c r="A113" s="331" t="s">
        <v>2479</v>
      </c>
      <c r="B113" s="124" t="s">
        <v>530</v>
      </c>
      <c r="C113" s="331" t="s">
        <v>506</v>
      </c>
      <c r="D113" s="125" t="s">
        <v>2489</v>
      </c>
      <c r="E113" s="125">
        <v>45</v>
      </c>
      <c r="F113" s="125" t="s">
        <v>1978</v>
      </c>
      <c r="G113" s="310">
        <v>44208</v>
      </c>
      <c r="H113" s="462">
        <f t="shared" si="2"/>
        <v>3</v>
      </c>
      <c r="I113" s="311">
        <v>30</v>
      </c>
      <c r="J113" s="311">
        <v>160</v>
      </c>
      <c r="K113" s="311">
        <f t="shared" si="3"/>
        <v>4800</v>
      </c>
      <c r="L113" s="310">
        <v>44169</v>
      </c>
      <c r="M113" s="310">
        <v>44211</v>
      </c>
      <c r="N113" s="329"/>
    </row>
    <row r="114" spans="1:14" s="129" customFormat="1" x14ac:dyDescent="0.3">
      <c r="A114" s="331" t="s">
        <v>2496</v>
      </c>
      <c r="B114" s="124" t="s">
        <v>2497</v>
      </c>
      <c r="C114" s="331" t="s">
        <v>1511</v>
      </c>
      <c r="D114" s="125" t="s">
        <v>2598</v>
      </c>
      <c r="E114" s="125" t="s">
        <v>5</v>
      </c>
      <c r="F114" s="125"/>
      <c r="G114" s="310">
        <v>44198</v>
      </c>
      <c r="H114" s="462">
        <f t="shared" si="2"/>
        <v>1</v>
      </c>
      <c r="I114" s="311">
        <v>7</v>
      </c>
      <c r="J114" s="311">
        <v>579.29</v>
      </c>
      <c r="K114" s="311">
        <f t="shared" si="3"/>
        <v>4055.0299999999997</v>
      </c>
      <c r="L114" s="310">
        <v>44195</v>
      </c>
      <c r="M114" s="310">
        <v>44211</v>
      </c>
      <c r="N114" s="329"/>
    </row>
    <row r="115" spans="1:14" s="129" customFormat="1" x14ac:dyDescent="0.3">
      <c r="A115" s="331" t="s">
        <v>2499</v>
      </c>
      <c r="B115" s="124" t="s">
        <v>2497</v>
      </c>
      <c r="C115" s="331" t="s">
        <v>1511</v>
      </c>
      <c r="D115" s="125" t="s">
        <v>2599</v>
      </c>
      <c r="E115" s="125" t="s">
        <v>5</v>
      </c>
      <c r="F115" s="125"/>
      <c r="G115" s="310">
        <v>44198</v>
      </c>
      <c r="H115" s="462">
        <f t="shared" si="2"/>
        <v>1</v>
      </c>
      <c r="I115" s="311">
        <v>10</v>
      </c>
      <c r="J115" s="311">
        <v>579.29</v>
      </c>
      <c r="K115" s="311">
        <f t="shared" si="3"/>
        <v>5792.9</v>
      </c>
      <c r="L115" s="310">
        <v>44195</v>
      </c>
      <c r="M115" s="310">
        <v>44211</v>
      </c>
      <c r="N115" s="329"/>
    </row>
    <row r="116" spans="1:14" s="129" customFormat="1" x14ac:dyDescent="0.3">
      <c r="A116" s="331" t="s">
        <v>2524</v>
      </c>
      <c r="B116" s="124" t="s">
        <v>1691</v>
      </c>
      <c r="C116" s="331" t="s">
        <v>1511</v>
      </c>
      <c r="D116" s="125" t="s">
        <v>2600</v>
      </c>
      <c r="E116" s="125" t="s">
        <v>5</v>
      </c>
      <c r="F116" s="125"/>
      <c r="G116" s="310">
        <v>44198</v>
      </c>
      <c r="H116" s="462">
        <f t="shared" si="2"/>
        <v>1</v>
      </c>
      <c r="I116" s="311">
        <v>1.55</v>
      </c>
      <c r="J116" s="311">
        <v>133.22999999999999</v>
      </c>
      <c r="K116" s="311">
        <f t="shared" si="3"/>
        <v>206.50649999999999</v>
      </c>
      <c r="L116" s="310">
        <v>44195</v>
      </c>
      <c r="M116" s="310">
        <v>44211</v>
      </c>
      <c r="N116" s="329"/>
    </row>
    <row r="117" spans="1:14" s="129" customFormat="1" x14ac:dyDescent="0.3">
      <c r="A117" s="331" t="s">
        <v>2525</v>
      </c>
      <c r="B117" s="124" t="s">
        <v>1692</v>
      </c>
      <c r="C117" s="331" t="s">
        <v>1511</v>
      </c>
      <c r="D117" s="125" t="s">
        <v>2601</v>
      </c>
      <c r="E117" s="125" t="s">
        <v>5</v>
      </c>
      <c r="F117" s="125"/>
      <c r="G117" s="310">
        <v>44198</v>
      </c>
      <c r="H117" s="462">
        <f t="shared" si="2"/>
        <v>1</v>
      </c>
      <c r="I117" s="311">
        <v>48.5</v>
      </c>
      <c r="J117" s="311">
        <v>79.209999999999994</v>
      </c>
      <c r="K117" s="311">
        <f t="shared" si="3"/>
        <v>3841.6849999999995</v>
      </c>
      <c r="L117" s="310">
        <v>44195</v>
      </c>
      <c r="M117" s="310">
        <v>44211</v>
      </c>
      <c r="N117" s="329"/>
    </row>
    <row r="118" spans="1:14" s="129" customFormat="1" x14ac:dyDescent="0.3">
      <c r="A118" s="331" t="s">
        <v>2528</v>
      </c>
      <c r="B118" s="124" t="s">
        <v>1691</v>
      </c>
      <c r="C118" s="331" t="s">
        <v>1511</v>
      </c>
      <c r="D118" s="125" t="s">
        <v>2602</v>
      </c>
      <c r="E118" s="125" t="s">
        <v>5</v>
      </c>
      <c r="F118" s="125"/>
      <c r="G118" s="310">
        <v>44198</v>
      </c>
      <c r="H118" s="462">
        <f t="shared" si="2"/>
        <v>1</v>
      </c>
      <c r="I118" s="311">
        <v>3.13</v>
      </c>
      <c r="J118" s="311">
        <v>133.22999999999999</v>
      </c>
      <c r="K118" s="311">
        <f t="shared" si="3"/>
        <v>417.00989999999996</v>
      </c>
      <c r="L118" s="310">
        <v>44195</v>
      </c>
      <c r="M118" s="310">
        <v>44211</v>
      </c>
      <c r="N118" s="329"/>
    </row>
    <row r="119" spans="1:14" s="129" customFormat="1" x14ac:dyDescent="0.3">
      <c r="A119" s="124" t="s">
        <v>2572</v>
      </c>
      <c r="B119" s="124" t="s">
        <v>1691</v>
      </c>
      <c r="C119" s="124" t="s">
        <v>1511</v>
      </c>
      <c r="D119" s="125" t="s">
        <v>2595</v>
      </c>
      <c r="E119" s="125" t="s">
        <v>5</v>
      </c>
      <c r="F119" s="125" t="s">
        <v>1978</v>
      </c>
      <c r="G119" s="310">
        <v>44198</v>
      </c>
      <c r="H119" s="462">
        <f t="shared" si="2"/>
        <v>1</v>
      </c>
      <c r="I119" s="311">
        <v>3.13</v>
      </c>
      <c r="J119" s="311">
        <v>133.22999999999999</v>
      </c>
      <c r="K119" s="311">
        <f t="shared" si="3"/>
        <v>417.00989999999996</v>
      </c>
      <c r="L119" s="310">
        <v>44195</v>
      </c>
      <c r="M119" s="310">
        <v>44211</v>
      </c>
      <c r="N119" s="329"/>
    </row>
    <row r="120" spans="1:14" s="129" customFormat="1" x14ac:dyDescent="0.3">
      <c r="A120" s="124" t="s">
        <v>2573</v>
      </c>
      <c r="B120" s="124" t="s">
        <v>1691</v>
      </c>
      <c r="C120" s="124" t="s">
        <v>1511</v>
      </c>
      <c r="D120" s="125" t="s">
        <v>2596</v>
      </c>
      <c r="E120" s="125" t="s">
        <v>5</v>
      </c>
      <c r="F120" s="125"/>
      <c r="G120" s="310">
        <v>44198</v>
      </c>
      <c r="H120" s="462">
        <f t="shared" si="2"/>
        <v>1</v>
      </c>
      <c r="I120" s="311">
        <v>4.59</v>
      </c>
      <c r="J120" s="311">
        <v>133.22999999999999</v>
      </c>
      <c r="K120" s="311">
        <f t="shared" si="3"/>
        <v>611.52569999999992</v>
      </c>
      <c r="L120" s="310">
        <v>44195</v>
      </c>
      <c r="M120" s="310">
        <v>44211</v>
      </c>
      <c r="N120" s="329"/>
    </row>
    <row r="121" spans="1:14" s="129" customFormat="1" x14ac:dyDescent="0.3">
      <c r="A121" s="124" t="s">
        <v>2574</v>
      </c>
      <c r="B121" s="124" t="s">
        <v>1692</v>
      </c>
      <c r="C121" s="124" t="s">
        <v>1511</v>
      </c>
      <c r="D121" s="125" t="s">
        <v>2597</v>
      </c>
      <c r="E121" s="125" t="s">
        <v>5</v>
      </c>
      <c r="F121" s="125"/>
      <c r="G121" s="310">
        <v>44198</v>
      </c>
      <c r="H121" s="462">
        <f t="shared" si="2"/>
        <v>1</v>
      </c>
      <c r="I121" s="368">
        <v>30</v>
      </c>
      <c r="J121" s="368">
        <v>79.209999999999994</v>
      </c>
      <c r="K121" s="311">
        <f t="shared" si="3"/>
        <v>2376.2999999999997</v>
      </c>
      <c r="L121" s="310">
        <v>44195</v>
      </c>
      <c r="M121" s="310">
        <v>44211</v>
      </c>
      <c r="N121" s="329"/>
    </row>
    <row r="122" spans="1:14" x14ac:dyDescent="0.3">
      <c r="A122" s="124" t="s">
        <v>2236</v>
      </c>
      <c r="B122" s="124" t="s">
        <v>1040</v>
      </c>
      <c r="C122" s="124" t="s">
        <v>550</v>
      </c>
      <c r="D122" s="125" t="s">
        <v>2235</v>
      </c>
      <c r="E122" s="125">
        <v>90</v>
      </c>
      <c r="F122" s="125" t="s">
        <v>1978</v>
      </c>
      <c r="G122" s="310">
        <v>44213</v>
      </c>
      <c r="H122" s="462">
        <f t="shared" si="2"/>
        <v>4</v>
      </c>
      <c r="I122" s="312">
        <v>30</v>
      </c>
      <c r="J122" s="312">
        <v>549</v>
      </c>
      <c r="K122" s="311">
        <f t="shared" si="3"/>
        <v>16470</v>
      </c>
      <c r="L122" s="310">
        <v>44130</v>
      </c>
      <c r="M122" s="310">
        <v>44218</v>
      </c>
      <c r="N122" s="329"/>
    </row>
    <row r="123" spans="1:14" x14ac:dyDescent="0.3">
      <c r="A123" s="342" t="s">
        <v>2654</v>
      </c>
      <c r="B123" s="342" t="s">
        <v>2661</v>
      </c>
      <c r="C123" s="342" t="s">
        <v>1511</v>
      </c>
      <c r="D123" s="313" t="s">
        <v>2673</v>
      </c>
      <c r="E123" s="313">
        <v>30</v>
      </c>
      <c r="F123" s="313" t="s">
        <v>1978</v>
      </c>
      <c r="G123" s="310">
        <v>44218</v>
      </c>
      <c r="H123" s="462">
        <f t="shared" si="2"/>
        <v>4</v>
      </c>
      <c r="I123" s="311">
        <v>18.888999999999999</v>
      </c>
      <c r="J123" s="311">
        <v>254.81</v>
      </c>
      <c r="K123" s="311">
        <f t="shared" si="3"/>
        <v>4813.1060900000002</v>
      </c>
      <c r="L123" s="310">
        <v>44214</v>
      </c>
      <c r="M123" s="310">
        <v>44225</v>
      </c>
      <c r="N123" s="329"/>
    </row>
    <row r="124" spans="1:14" x14ac:dyDescent="0.3">
      <c r="A124" s="342" t="s">
        <v>2655</v>
      </c>
      <c r="B124" s="342" t="s">
        <v>2662</v>
      </c>
      <c r="C124" s="342" t="s">
        <v>1511</v>
      </c>
      <c r="D124" s="313" t="s">
        <v>2674</v>
      </c>
      <c r="E124" s="313">
        <v>30</v>
      </c>
      <c r="F124" s="313" t="s">
        <v>1978</v>
      </c>
      <c r="G124" s="310">
        <v>44218</v>
      </c>
      <c r="H124" s="462">
        <f t="shared" si="2"/>
        <v>4</v>
      </c>
      <c r="I124" s="311">
        <v>18.347999999999999</v>
      </c>
      <c r="J124" s="311">
        <v>811.02800000000002</v>
      </c>
      <c r="K124" s="311">
        <f t="shared" si="3"/>
        <v>14880.741743999999</v>
      </c>
      <c r="L124" s="310">
        <v>44214</v>
      </c>
      <c r="M124" s="310">
        <v>44225</v>
      </c>
      <c r="N124" s="329"/>
    </row>
    <row r="125" spans="1:14" x14ac:dyDescent="0.3">
      <c r="A125" s="342" t="s">
        <v>2656</v>
      </c>
      <c r="B125" s="342" t="s">
        <v>2663</v>
      </c>
      <c r="C125" s="342" t="s">
        <v>1511</v>
      </c>
      <c r="D125" s="313" t="s">
        <v>2675</v>
      </c>
      <c r="E125" s="313">
        <v>30</v>
      </c>
      <c r="F125" s="313" t="s">
        <v>1978</v>
      </c>
      <c r="G125" s="310">
        <v>44218</v>
      </c>
      <c r="H125" s="462">
        <f t="shared" si="2"/>
        <v>4</v>
      </c>
      <c r="I125" s="311">
        <v>13.08</v>
      </c>
      <c r="J125" s="311">
        <v>340.476</v>
      </c>
      <c r="K125" s="311">
        <f t="shared" si="3"/>
        <v>4453.4260800000002</v>
      </c>
      <c r="L125" s="310">
        <v>44214</v>
      </c>
      <c r="M125" s="310">
        <v>44225</v>
      </c>
      <c r="N125" s="329"/>
    </row>
    <row r="126" spans="1:14" ht="15" x14ac:dyDescent="0.25">
      <c r="A126" s="331" t="s">
        <v>2615</v>
      </c>
      <c r="B126" s="342" t="s">
        <v>2030</v>
      </c>
      <c r="C126" s="331" t="s">
        <v>589</v>
      </c>
      <c r="D126" s="313" t="s">
        <v>2580</v>
      </c>
      <c r="E126" s="313">
        <v>30</v>
      </c>
      <c r="F126" s="313" t="s">
        <v>1978</v>
      </c>
      <c r="G126" s="310">
        <v>44223</v>
      </c>
      <c r="H126" s="462">
        <f t="shared" si="2"/>
        <v>5</v>
      </c>
      <c r="I126" s="311">
        <v>30</v>
      </c>
      <c r="J126" s="311">
        <v>570</v>
      </c>
      <c r="K126" s="311">
        <f t="shared" si="3"/>
        <v>17100</v>
      </c>
      <c r="L126" s="310">
        <v>44195</v>
      </c>
      <c r="M126" s="310">
        <v>44225</v>
      </c>
      <c r="N126" s="329"/>
    </row>
    <row r="127" spans="1:14" ht="15" x14ac:dyDescent="0.25">
      <c r="A127" s="331" t="s">
        <v>2616</v>
      </c>
      <c r="B127" s="342" t="s">
        <v>2030</v>
      </c>
      <c r="C127" s="331" t="s">
        <v>589</v>
      </c>
      <c r="D127" s="313" t="s">
        <v>2617</v>
      </c>
      <c r="E127" s="313">
        <v>30</v>
      </c>
      <c r="F127" s="313" t="s">
        <v>1978</v>
      </c>
      <c r="G127" s="310">
        <v>44223</v>
      </c>
      <c r="H127" s="462">
        <f t="shared" si="2"/>
        <v>5</v>
      </c>
      <c r="I127" s="311">
        <v>30</v>
      </c>
      <c r="J127" s="311">
        <v>570</v>
      </c>
      <c r="K127" s="311">
        <f t="shared" si="3"/>
        <v>17100</v>
      </c>
      <c r="L127" s="310">
        <v>44195</v>
      </c>
      <c r="M127" s="310">
        <v>44225</v>
      </c>
      <c r="N127" s="329"/>
    </row>
    <row r="128" spans="1:14" ht="15" x14ac:dyDescent="0.25">
      <c r="A128" s="342" t="s">
        <v>2700</v>
      </c>
      <c r="B128" s="342" t="s">
        <v>2701</v>
      </c>
      <c r="C128" s="342" t="s">
        <v>2703</v>
      </c>
      <c r="D128" s="313" t="s">
        <v>2773</v>
      </c>
      <c r="E128" s="313" t="s">
        <v>5</v>
      </c>
      <c r="F128" s="313"/>
      <c r="G128" s="310">
        <v>44223</v>
      </c>
      <c r="H128" s="462">
        <f t="shared" si="2"/>
        <v>5</v>
      </c>
      <c r="I128" s="311">
        <v>120</v>
      </c>
      <c r="J128" s="311">
        <v>330</v>
      </c>
      <c r="K128" s="311">
        <f t="shared" si="3"/>
        <v>39600</v>
      </c>
      <c r="L128" s="310">
        <v>44223</v>
      </c>
      <c r="M128" s="310">
        <v>44223</v>
      </c>
      <c r="N128" s="329"/>
    </row>
    <row r="129" spans="1:14" ht="15" x14ac:dyDescent="0.25">
      <c r="A129" s="331" t="s">
        <v>2585</v>
      </c>
      <c r="B129" s="331" t="s">
        <v>530</v>
      </c>
      <c r="C129" s="331" t="s">
        <v>506</v>
      </c>
      <c r="D129" s="313" t="s">
        <v>2588</v>
      </c>
      <c r="E129" s="313">
        <v>45</v>
      </c>
      <c r="F129" s="313" t="s">
        <v>1978</v>
      </c>
      <c r="G129" s="310">
        <v>44228</v>
      </c>
      <c r="H129" s="462">
        <f t="shared" si="2"/>
        <v>6</v>
      </c>
      <c r="I129" s="311">
        <v>76</v>
      </c>
      <c r="J129" s="311">
        <v>165</v>
      </c>
      <c r="K129" s="311">
        <f t="shared" si="3"/>
        <v>12540</v>
      </c>
      <c r="L129" s="310">
        <v>44186</v>
      </c>
      <c r="M129" s="310">
        <v>44235</v>
      </c>
      <c r="N129" s="329"/>
    </row>
    <row r="130" spans="1:14" ht="15" x14ac:dyDescent="0.25">
      <c r="A130" s="331" t="s">
        <v>2586</v>
      </c>
      <c r="B130" s="331" t="s">
        <v>530</v>
      </c>
      <c r="C130" s="331" t="s">
        <v>506</v>
      </c>
      <c r="D130" s="313" t="s">
        <v>2589</v>
      </c>
      <c r="E130" s="313">
        <v>46</v>
      </c>
      <c r="F130" s="313" t="s">
        <v>1978</v>
      </c>
      <c r="G130" s="310">
        <v>44229</v>
      </c>
      <c r="H130" s="462">
        <f t="shared" ref="H130:H193" si="4">WEEKNUM(G130)</f>
        <v>6</v>
      </c>
      <c r="I130" s="311">
        <v>5.5</v>
      </c>
      <c r="J130" s="311">
        <v>165</v>
      </c>
      <c r="K130" s="311">
        <f t="shared" ref="K130:K193" si="5">+I130*J130</f>
        <v>907.5</v>
      </c>
      <c r="L130" s="310">
        <v>44186</v>
      </c>
      <c r="M130" s="310">
        <v>44235</v>
      </c>
      <c r="N130" s="329"/>
    </row>
    <row r="131" spans="1:14" ht="15" x14ac:dyDescent="0.25">
      <c r="A131" s="331" t="s">
        <v>2347</v>
      </c>
      <c r="B131" s="124" t="s">
        <v>1970</v>
      </c>
      <c r="C131" s="124" t="s">
        <v>550</v>
      </c>
      <c r="D131" s="313" t="s">
        <v>2410</v>
      </c>
      <c r="E131" s="313">
        <v>90</v>
      </c>
      <c r="F131" s="313" t="s">
        <v>1978</v>
      </c>
      <c r="G131" s="310">
        <v>44230</v>
      </c>
      <c r="H131" s="462">
        <f t="shared" si="4"/>
        <v>6</v>
      </c>
      <c r="I131" s="311">
        <v>15</v>
      </c>
      <c r="J131" s="311">
        <v>1150</v>
      </c>
      <c r="K131" s="311">
        <f t="shared" si="5"/>
        <v>17250</v>
      </c>
      <c r="L131" s="310">
        <v>44155</v>
      </c>
      <c r="M131" s="310">
        <v>44235</v>
      </c>
      <c r="N131" s="329"/>
    </row>
    <row r="132" spans="1:14" x14ac:dyDescent="0.3">
      <c r="A132" s="342" t="s">
        <v>2620</v>
      </c>
      <c r="B132" s="342" t="s">
        <v>1691</v>
      </c>
      <c r="C132" s="342" t="s">
        <v>1511</v>
      </c>
      <c r="D132" s="313" t="s">
        <v>2706</v>
      </c>
      <c r="E132" s="313" t="s">
        <v>5</v>
      </c>
      <c r="F132" s="313"/>
      <c r="G132" s="310">
        <v>44225</v>
      </c>
      <c r="H132" s="462">
        <f t="shared" si="4"/>
        <v>5</v>
      </c>
      <c r="I132" s="311">
        <v>9.18</v>
      </c>
      <c r="J132" s="311">
        <v>135.33000000000001</v>
      </c>
      <c r="K132" s="311">
        <f t="shared" si="5"/>
        <v>1242.3294000000001</v>
      </c>
      <c r="L132" s="310">
        <v>44221</v>
      </c>
      <c r="M132" s="310">
        <v>44235</v>
      </c>
      <c r="N132" s="329"/>
    </row>
    <row r="133" spans="1:14" x14ac:dyDescent="0.3">
      <c r="A133" s="342" t="s">
        <v>2621</v>
      </c>
      <c r="B133" s="342" t="s">
        <v>1692</v>
      </c>
      <c r="C133" s="342" t="s">
        <v>1511</v>
      </c>
      <c r="D133" s="313" t="s">
        <v>2707</v>
      </c>
      <c r="E133" s="313" t="s">
        <v>5</v>
      </c>
      <c r="F133" s="313"/>
      <c r="G133" s="310">
        <v>44225</v>
      </c>
      <c r="H133" s="462">
        <f t="shared" si="4"/>
        <v>5</v>
      </c>
      <c r="I133" s="311">
        <v>30</v>
      </c>
      <c r="J133" s="311">
        <v>87.21</v>
      </c>
      <c r="K133" s="311">
        <f t="shared" si="5"/>
        <v>2616.2999999999997</v>
      </c>
      <c r="L133" s="310">
        <v>44221</v>
      </c>
      <c r="M133" s="310">
        <v>44235</v>
      </c>
      <c r="N133" s="329"/>
    </row>
    <row r="134" spans="1:14" s="376" customFormat="1" x14ac:dyDescent="0.3">
      <c r="A134" s="372" t="s">
        <v>2575</v>
      </c>
      <c r="B134" s="372" t="s">
        <v>1691</v>
      </c>
      <c r="C134" s="372" t="s">
        <v>1511</v>
      </c>
      <c r="D134" s="373" t="s">
        <v>2782</v>
      </c>
      <c r="E134" s="373" t="s">
        <v>5</v>
      </c>
      <c r="F134" s="373"/>
      <c r="G134" s="374">
        <v>44236</v>
      </c>
      <c r="H134" s="462">
        <f t="shared" si="4"/>
        <v>7</v>
      </c>
      <c r="I134" s="375">
        <v>9.18</v>
      </c>
      <c r="J134" s="375">
        <v>133.22999999999999</v>
      </c>
      <c r="K134" s="375">
        <f t="shared" si="5"/>
        <v>1223.0513999999998</v>
      </c>
      <c r="L134" s="374">
        <v>44235</v>
      </c>
      <c r="M134" s="374">
        <v>44246</v>
      </c>
      <c r="N134" s="379"/>
    </row>
    <row r="135" spans="1:14" s="376" customFormat="1" x14ac:dyDescent="0.3">
      <c r="A135" s="372" t="s">
        <v>2591</v>
      </c>
      <c r="B135" s="372" t="s">
        <v>1692</v>
      </c>
      <c r="C135" s="372" t="s">
        <v>1511</v>
      </c>
      <c r="D135" s="373" t="s">
        <v>2780</v>
      </c>
      <c r="E135" s="373" t="s">
        <v>5</v>
      </c>
      <c r="F135" s="373"/>
      <c r="G135" s="374">
        <v>44236</v>
      </c>
      <c r="H135" s="462">
        <f t="shared" si="4"/>
        <v>7</v>
      </c>
      <c r="I135" s="375">
        <v>60</v>
      </c>
      <c r="J135" s="375">
        <v>79.209999999999994</v>
      </c>
      <c r="K135" s="375">
        <f t="shared" si="5"/>
        <v>4752.5999999999995</v>
      </c>
      <c r="L135" s="374">
        <v>44235</v>
      </c>
      <c r="M135" s="374">
        <v>44246</v>
      </c>
      <c r="N135" s="379"/>
    </row>
    <row r="136" spans="1:14" s="376" customFormat="1" x14ac:dyDescent="0.3">
      <c r="A136" s="372" t="s">
        <v>2613</v>
      </c>
      <c r="B136" s="372" t="s">
        <v>1691</v>
      </c>
      <c r="C136" s="372" t="s">
        <v>1511</v>
      </c>
      <c r="D136" s="373" t="s">
        <v>2781</v>
      </c>
      <c r="E136" s="373" t="s">
        <v>5</v>
      </c>
      <c r="F136" s="373"/>
      <c r="G136" s="374">
        <v>44236</v>
      </c>
      <c r="H136" s="462">
        <f t="shared" si="4"/>
        <v>7</v>
      </c>
      <c r="I136" s="375">
        <v>1.8</v>
      </c>
      <c r="J136" s="375">
        <v>133.22999999999999</v>
      </c>
      <c r="K136" s="375">
        <f t="shared" si="5"/>
        <v>239.81399999999999</v>
      </c>
      <c r="L136" s="374">
        <v>44235</v>
      </c>
      <c r="M136" s="374">
        <v>44246</v>
      </c>
      <c r="N136" s="379"/>
    </row>
    <row r="137" spans="1:14" s="376" customFormat="1" x14ac:dyDescent="0.3">
      <c r="A137" s="372" t="s">
        <v>2614</v>
      </c>
      <c r="B137" s="372" t="s">
        <v>1692</v>
      </c>
      <c r="C137" s="372" t="s">
        <v>1511</v>
      </c>
      <c r="D137" s="373" t="s">
        <v>2761</v>
      </c>
      <c r="E137" s="373" t="s">
        <v>5</v>
      </c>
      <c r="F137" s="373"/>
      <c r="G137" s="374">
        <v>44236</v>
      </c>
      <c r="H137" s="462">
        <f t="shared" si="4"/>
        <v>7</v>
      </c>
      <c r="I137" s="375">
        <v>30</v>
      </c>
      <c r="J137" s="375">
        <v>103.21</v>
      </c>
      <c r="K137" s="375">
        <f t="shared" si="5"/>
        <v>3096.2999999999997</v>
      </c>
      <c r="L137" s="374">
        <v>44235</v>
      </c>
      <c r="M137" s="374">
        <v>44246</v>
      </c>
      <c r="N137" s="379"/>
    </row>
    <row r="138" spans="1:14" s="376" customFormat="1" x14ac:dyDescent="0.3">
      <c r="A138" s="372" t="s">
        <v>2664</v>
      </c>
      <c r="B138" s="372" t="s">
        <v>1977</v>
      </c>
      <c r="C138" s="372" t="s">
        <v>589</v>
      </c>
      <c r="D138" s="373" t="s">
        <v>2669</v>
      </c>
      <c r="E138" s="373">
        <v>30</v>
      </c>
      <c r="F138" s="373" t="s">
        <v>509</v>
      </c>
      <c r="G138" s="374">
        <v>44246</v>
      </c>
      <c r="H138" s="462">
        <f t="shared" si="4"/>
        <v>8</v>
      </c>
      <c r="I138" s="375">
        <v>4</v>
      </c>
      <c r="J138" s="375">
        <v>3000</v>
      </c>
      <c r="K138" s="375">
        <f t="shared" si="5"/>
        <v>12000</v>
      </c>
      <c r="L138" s="374">
        <v>44217</v>
      </c>
      <c r="M138" s="374">
        <v>44246</v>
      </c>
      <c r="N138" s="379"/>
    </row>
    <row r="139" spans="1:14" s="376" customFormat="1" ht="15" x14ac:dyDescent="0.25">
      <c r="A139" s="372" t="s">
        <v>2569</v>
      </c>
      <c r="B139" s="372" t="s">
        <v>530</v>
      </c>
      <c r="C139" s="372" t="s">
        <v>506</v>
      </c>
      <c r="D139" s="373" t="s">
        <v>2592</v>
      </c>
      <c r="E139" s="373">
        <v>45</v>
      </c>
      <c r="F139" s="373" t="s">
        <v>1978</v>
      </c>
      <c r="G139" s="374">
        <v>44240</v>
      </c>
      <c r="H139" s="462">
        <f t="shared" si="4"/>
        <v>7</v>
      </c>
      <c r="I139" s="375">
        <v>7.5</v>
      </c>
      <c r="J139" s="375">
        <v>163</v>
      </c>
      <c r="K139" s="375">
        <f t="shared" si="5"/>
        <v>1222.5</v>
      </c>
      <c r="L139" s="374">
        <v>44195</v>
      </c>
      <c r="M139" s="374">
        <v>44246</v>
      </c>
      <c r="N139" s="379"/>
    </row>
    <row r="140" spans="1:14" s="376" customFormat="1" ht="15" x14ac:dyDescent="0.25">
      <c r="A140" s="372" t="s">
        <v>2571</v>
      </c>
      <c r="B140" s="372" t="s">
        <v>530</v>
      </c>
      <c r="C140" s="372" t="s">
        <v>506</v>
      </c>
      <c r="D140" s="373" t="s">
        <v>2593</v>
      </c>
      <c r="E140" s="373">
        <v>45</v>
      </c>
      <c r="F140" s="373" t="s">
        <v>1978</v>
      </c>
      <c r="G140" s="374">
        <v>44240</v>
      </c>
      <c r="H140" s="462">
        <f t="shared" si="4"/>
        <v>7</v>
      </c>
      <c r="I140" s="375">
        <v>30</v>
      </c>
      <c r="J140" s="375">
        <v>163</v>
      </c>
      <c r="K140" s="375">
        <f t="shared" si="5"/>
        <v>4890</v>
      </c>
      <c r="L140" s="374">
        <v>44195</v>
      </c>
      <c r="M140" s="374">
        <v>44246</v>
      </c>
      <c r="N140" s="379"/>
    </row>
    <row r="141" spans="1:14" s="376" customFormat="1" ht="15" x14ac:dyDescent="0.25">
      <c r="A141" s="372" t="s">
        <v>2553</v>
      </c>
      <c r="B141" s="372" t="s">
        <v>530</v>
      </c>
      <c r="C141" s="372" t="s">
        <v>506</v>
      </c>
      <c r="D141" s="373" t="s">
        <v>2594</v>
      </c>
      <c r="E141" s="373">
        <v>45</v>
      </c>
      <c r="F141" s="373" t="s">
        <v>1978</v>
      </c>
      <c r="G141" s="374">
        <v>44240</v>
      </c>
      <c r="H141" s="462">
        <f t="shared" si="4"/>
        <v>7</v>
      </c>
      <c r="I141" s="375">
        <v>20.3</v>
      </c>
      <c r="J141" s="375">
        <v>163</v>
      </c>
      <c r="K141" s="375">
        <f t="shared" si="5"/>
        <v>3308.9</v>
      </c>
      <c r="L141" s="374">
        <v>44195</v>
      </c>
      <c r="M141" s="374">
        <v>44246</v>
      </c>
      <c r="N141" s="379"/>
    </row>
    <row r="142" spans="1:14" s="376" customFormat="1" ht="15" x14ac:dyDescent="0.25">
      <c r="A142" s="372" t="s">
        <v>2606</v>
      </c>
      <c r="B142" s="372" t="s">
        <v>530</v>
      </c>
      <c r="C142" s="372" t="s">
        <v>506</v>
      </c>
      <c r="D142" s="373" t="s">
        <v>2622</v>
      </c>
      <c r="E142" s="373">
        <v>45</v>
      </c>
      <c r="F142" s="373" t="s">
        <v>1978</v>
      </c>
      <c r="G142" s="374">
        <v>44246</v>
      </c>
      <c r="H142" s="462">
        <f t="shared" si="4"/>
        <v>8</v>
      </c>
      <c r="I142" s="375">
        <v>37.5</v>
      </c>
      <c r="J142" s="375">
        <v>163</v>
      </c>
      <c r="K142" s="375">
        <f t="shared" si="5"/>
        <v>6112.5</v>
      </c>
      <c r="L142" s="374">
        <v>44204</v>
      </c>
      <c r="M142" s="374">
        <v>44246</v>
      </c>
      <c r="N142" s="379"/>
    </row>
    <row r="143" spans="1:14" s="376" customFormat="1" ht="15" x14ac:dyDescent="0.25">
      <c r="A143" s="372" t="s">
        <v>2608</v>
      </c>
      <c r="B143" s="372" t="s">
        <v>530</v>
      </c>
      <c r="C143" s="372" t="s">
        <v>506</v>
      </c>
      <c r="D143" s="373" t="s">
        <v>2623</v>
      </c>
      <c r="E143" s="373">
        <v>45</v>
      </c>
      <c r="F143" s="373" t="s">
        <v>1978</v>
      </c>
      <c r="G143" s="374">
        <v>44245</v>
      </c>
      <c r="H143" s="462">
        <f t="shared" si="4"/>
        <v>8</v>
      </c>
      <c r="I143" s="375">
        <v>48.85</v>
      </c>
      <c r="J143" s="375">
        <v>163</v>
      </c>
      <c r="K143" s="375">
        <f t="shared" si="5"/>
        <v>7962.55</v>
      </c>
      <c r="L143" s="374">
        <v>44204</v>
      </c>
      <c r="M143" s="374">
        <v>44246</v>
      </c>
      <c r="N143" s="379"/>
    </row>
    <row r="144" spans="1:14" s="376" customFormat="1" ht="15" x14ac:dyDescent="0.25">
      <c r="A144" s="372" t="s">
        <v>2609</v>
      </c>
      <c r="B144" s="372" t="s">
        <v>530</v>
      </c>
      <c r="C144" s="372" t="s">
        <v>506</v>
      </c>
      <c r="D144" s="373" t="s">
        <v>2624</v>
      </c>
      <c r="E144" s="373">
        <v>45</v>
      </c>
      <c r="F144" s="373" t="s">
        <v>1978</v>
      </c>
      <c r="G144" s="374">
        <v>44245</v>
      </c>
      <c r="H144" s="462">
        <f t="shared" si="4"/>
        <v>8</v>
      </c>
      <c r="I144" s="375">
        <v>38</v>
      </c>
      <c r="J144" s="375">
        <v>163</v>
      </c>
      <c r="K144" s="375">
        <f t="shared" si="5"/>
        <v>6194</v>
      </c>
      <c r="L144" s="374">
        <v>44204</v>
      </c>
      <c r="M144" s="374">
        <v>44246</v>
      </c>
      <c r="N144" s="379"/>
    </row>
    <row r="145" spans="1:14" s="376" customFormat="1" ht="15" x14ac:dyDescent="0.25">
      <c r="A145" s="372" t="s">
        <v>2610</v>
      </c>
      <c r="B145" s="372" t="s">
        <v>530</v>
      </c>
      <c r="C145" s="372" t="s">
        <v>506</v>
      </c>
      <c r="D145" s="373" t="s">
        <v>2625</v>
      </c>
      <c r="E145" s="373">
        <v>45</v>
      </c>
      <c r="F145" s="373" t="s">
        <v>1978</v>
      </c>
      <c r="G145" s="374">
        <v>44245</v>
      </c>
      <c r="H145" s="462">
        <f t="shared" si="4"/>
        <v>8</v>
      </c>
      <c r="I145" s="375">
        <v>30.5</v>
      </c>
      <c r="J145" s="375">
        <v>163</v>
      </c>
      <c r="K145" s="375">
        <f t="shared" si="5"/>
        <v>4971.5</v>
      </c>
      <c r="L145" s="374">
        <v>44204</v>
      </c>
      <c r="M145" s="374">
        <v>44246</v>
      </c>
      <c r="N145" s="379"/>
    </row>
    <row r="146" spans="1:14" s="376" customFormat="1" ht="15" x14ac:dyDescent="0.25">
      <c r="A146" s="372" t="s">
        <v>2611</v>
      </c>
      <c r="B146" s="372" t="s">
        <v>530</v>
      </c>
      <c r="C146" s="372" t="s">
        <v>506</v>
      </c>
      <c r="D146" s="373" t="s">
        <v>2641</v>
      </c>
      <c r="E146" s="373">
        <v>45</v>
      </c>
      <c r="F146" s="373" t="s">
        <v>1978</v>
      </c>
      <c r="G146" s="374">
        <v>44246</v>
      </c>
      <c r="H146" s="462">
        <f t="shared" si="4"/>
        <v>8</v>
      </c>
      <c r="I146" s="375">
        <v>31</v>
      </c>
      <c r="J146" s="375">
        <v>163</v>
      </c>
      <c r="K146" s="375">
        <f t="shared" si="5"/>
        <v>5053</v>
      </c>
      <c r="L146" s="374">
        <v>44204</v>
      </c>
      <c r="M146" s="374">
        <v>44246</v>
      </c>
      <c r="N146" s="379"/>
    </row>
    <row r="147" spans="1:14" s="376" customFormat="1" ht="15" x14ac:dyDescent="0.25">
      <c r="A147" s="372" t="s">
        <v>2612</v>
      </c>
      <c r="B147" s="372" t="s">
        <v>530</v>
      </c>
      <c r="C147" s="372" t="s">
        <v>506</v>
      </c>
      <c r="D147" s="373" t="s">
        <v>2626</v>
      </c>
      <c r="E147" s="373">
        <v>45</v>
      </c>
      <c r="F147" s="373" t="s">
        <v>1978</v>
      </c>
      <c r="G147" s="374">
        <v>44246</v>
      </c>
      <c r="H147" s="462">
        <f t="shared" si="4"/>
        <v>8</v>
      </c>
      <c r="I147" s="375">
        <v>36.299999999999997</v>
      </c>
      <c r="J147" s="375">
        <v>163</v>
      </c>
      <c r="K147" s="375">
        <f t="shared" si="5"/>
        <v>5916.9</v>
      </c>
      <c r="L147" s="374">
        <v>44204</v>
      </c>
      <c r="M147" s="374">
        <v>44246</v>
      </c>
      <c r="N147" s="379"/>
    </row>
    <row r="148" spans="1:14" s="378" customFormat="1" ht="14.85" customHeight="1" x14ac:dyDescent="0.3">
      <c r="A148" s="124" t="s">
        <v>2178</v>
      </c>
      <c r="B148" s="124" t="s">
        <v>2207</v>
      </c>
      <c r="C148" s="124" t="s">
        <v>1511</v>
      </c>
      <c r="D148" s="125" t="s">
        <v>2257</v>
      </c>
      <c r="E148" s="125">
        <v>120</v>
      </c>
      <c r="F148" s="125" t="s">
        <v>1978</v>
      </c>
      <c r="G148" s="310">
        <v>44246</v>
      </c>
      <c r="H148" s="462">
        <f t="shared" si="4"/>
        <v>8</v>
      </c>
      <c r="I148" s="311">
        <v>1150</v>
      </c>
      <c r="J148" s="311">
        <v>5.28</v>
      </c>
      <c r="K148" s="311">
        <f t="shared" si="5"/>
        <v>6072</v>
      </c>
      <c r="L148" s="310">
        <v>44492</v>
      </c>
      <c r="M148" s="374">
        <v>44253</v>
      </c>
      <c r="N148" s="380"/>
    </row>
    <row r="149" spans="1:14" s="129" customFormat="1" x14ac:dyDescent="0.3">
      <c r="A149" s="124" t="s">
        <v>2179</v>
      </c>
      <c r="B149" s="124" t="s">
        <v>2207</v>
      </c>
      <c r="C149" s="124" t="s">
        <v>1511</v>
      </c>
      <c r="D149" s="125" t="s">
        <v>2258</v>
      </c>
      <c r="E149" s="125">
        <v>120</v>
      </c>
      <c r="F149" s="125" t="s">
        <v>1978</v>
      </c>
      <c r="G149" s="310">
        <v>44246</v>
      </c>
      <c r="H149" s="462">
        <f t="shared" si="4"/>
        <v>8</v>
      </c>
      <c r="I149" s="311">
        <v>7840</v>
      </c>
      <c r="J149" s="311">
        <v>5.28</v>
      </c>
      <c r="K149" s="311">
        <f t="shared" si="5"/>
        <v>41395.200000000004</v>
      </c>
      <c r="L149" s="310">
        <v>44127</v>
      </c>
      <c r="M149" s="374">
        <v>44253</v>
      </c>
      <c r="N149" s="329"/>
    </row>
    <row r="150" spans="1:14" s="129" customFormat="1" x14ac:dyDescent="0.3">
      <c r="A150" s="124" t="s">
        <v>2180</v>
      </c>
      <c r="B150" s="124" t="s">
        <v>2208</v>
      </c>
      <c r="C150" s="124" t="s">
        <v>1511</v>
      </c>
      <c r="D150" s="125" t="s">
        <v>2259</v>
      </c>
      <c r="E150" s="125">
        <v>120</v>
      </c>
      <c r="F150" s="125" t="s">
        <v>1978</v>
      </c>
      <c r="G150" s="310">
        <v>44246</v>
      </c>
      <c r="H150" s="462">
        <f t="shared" si="4"/>
        <v>8</v>
      </c>
      <c r="I150" s="311">
        <v>2329</v>
      </c>
      <c r="J150" s="311">
        <v>2.5</v>
      </c>
      <c r="K150" s="311">
        <f t="shared" si="5"/>
        <v>5822.5</v>
      </c>
      <c r="L150" s="310">
        <v>44127</v>
      </c>
      <c r="M150" s="374">
        <v>44253</v>
      </c>
      <c r="N150" s="329"/>
    </row>
    <row r="151" spans="1:14" s="129" customFormat="1" x14ac:dyDescent="0.3">
      <c r="A151" s="124" t="s">
        <v>2181</v>
      </c>
      <c r="B151" s="124" t="s">
        <v>2208</v>
      </c>
      <c r="C151" s="124" t="s">
        <v>1511</v>
      </c>
      <c r="D151" s="125" t="s">
        <v>2260</v>
      </c>
      <c r="E151" s="125">
        <v>120</v>
      </c>
      <c r="F151" s="125" t="s">
        <v>1978</v>
      </c>
      <c r="G151" s="310">
        <v>44246</v>
      </c>
      <c r="H151" s="462">
        <f t="shared" si="4"/>
        <v>8</v>
      </c>
      <c r="I151" s="311">
        <v>1296</v>
      </c>
      <c r="J151" s="311">
        <v>2.5</v>
      </c>
      <c r="K151" s="311">
        <f t="shared" si="5"/>
        <v>3240</v>
      </c>
      <c r="L151" s="310">
        <v>44127</v>
      </c>
      <c r="M151" s="374">
        <v>44253</v>
      </c>
      <c r="N151" s="329"/>
    </row>
    <row r="152" spans="1:14" s="129" customFormat="1" x14ac:dyDescent="0.3">
      <c r="A152" s="124" t="s">
        <v>2182</v>
      </c>
      <c r="B152" s="124" t="s">
        <v>2208</v>
      </c>
      <c r="C152" s="124" t="s">
        <v>1511</v>
      </c>
      <c r="D152" s="125" t="s">
        <v>2261</v>
      </c>
      <c r="E152" s="125">
        <v>120</v>
      </c>
      <c r="F152" s="125" t="s">
        <v>1978</v>
      </c>
      <c r="G152" s="310">
        <v>44246</v>
      </c>
      <c r="H152" s="462">
        <f t="shared" si="4"/>
        <v>8</v>
      </c>
      <c r="I152" s="311">
        <v>1319</v>
      </c>
      <c r="J152" s="311">
        <v>2.5</v>
      </c>
      <c r="K152" s="311">
        <f t="shared" si="5"/>
        <v>3297.5</v>
      </c>
      <c r="L152" s="310">
        <v>44127</v>
      </c>
      <c r="M152" s="374">
        <v>44253</v>
      </c>
      <c r="N152" s="329"/>
    </row>
    <row r="153" spans="1:14" s="129" customFormat="1" x14ac:dyDescent="0.3">
      <c r="A153" s="124" t="s">
        <v>2183</v>
      </c>
      <c r="B153" s="124" t="s">
        <v>2061</v>
      </c>
      <c r="C153" s="124" t="s">
        <v>1511</v>
      </c>
      <c r="D153" s="125" t="s">
        <v>2262</v>
      </c>
      <c r="E153" s="125">
        <v>120</v>
      </c>
      <c r="F153" s="125" t="s">
        <v>1978</v>
      </c>
      <c r="G153" s="310">
        <v>44246</v>
      </c>
      <c r="H153" s="462">
        <f t="shared" si="4"/>
        <v>8</v>
      </c>
      <c r="I153" s="311">
        <v>840</v>
      </c>
      <c r="J153" s="311">
        <v>2.5</v>
      </c>
      <c r="K153" s="311">
        <f t="shared" si="5"/>
        <v>2100</v>
      </c>
      <c r="L153" s="310">
        <v>44127</v>
      </c>
      <c r="M153" s="374">
        <v>44253</v>
      </c>
      <c r="N153" s="329"/>
    </row>
    <row r="154" spans="1:14" s="129" customFormat="1" x14ac:dyDescent="0.3">
      <c r="A154" s="124" t="s">
        <v>2184</v>
      </c>
      <c r="B154" s="124" t="s">
        <v>2061</v>
      </c>
      <c r="C154" s="124" t="s">
        <v>1511</v>
      </c>
      <c r="D154" s="125" t="s">
        <v>2263</v>
      </c>
      <c r="E154" s="125">
        <v>120</v>
      </c>
      <c r="F154" s="125" t="s">
        <v>1978</v>
      </c>
      <c r="G154" s="310">
        <v>44246</v>
      </c>
      <c r="H154" s="462">
        <f t="shared" si="4"/>
        <v>8</v>
      </c>
      <c r="I154" s="311">
        <v>180</v>
      </c>
      <c r="J154" s="311">
        <v>2.5</v>
      </c>
      <c r="K154" s="311">
        <f t="shared" si="5"/>
        <v>450</v>
      </c>
      <c r="L154" s="310">
        <v>44127</v>
      </c>
      <c r="M154" s="374">
        <v>44253</v>
      </c>
      <c r="N154" s="329"/>
    </row>
    <row r="155" spans="1:14" s="129" customFormat="1" ht="15" x14ac:dyDescent="0.25">
      <c r="A155" s="331" t="s">
        <v>2552</v>
      </c>
      <c r="B155" s="124" t="s">
        <v>2555</v>
      </c>
      <c r="C155" s="331" t="s">
        <v>2554</v>
      </c>
      <c r="D155" s="125" t="s">
        <v>2556</v>
      </c>
      <c r="E155" s="125">
        <v>60</v>
      </c>
      <c r="F155" s="125" t="s">
        <v>1978</v>
      </c>
      <c r="G155" s="310">
        <v>44242</v>
      </c>
      <c r="H155" s="462">
        <f t="shared" si="4"/>
        <v>8</v>
      </c>
      <c r="I155" s="311">
        <v>0.6</v>
      </c>
      <c r="J155" s="311">
        <v>8000</v>
      </c>
      <c r="K155" s="311">
        <f t="shared" si="5"/>
        <v>4800</v>
      </c>
      <c r="L155" s="310">
        <v>44187</v>
      </c>
      <c r="M155" s="374">
        <v>44253</v>
      </c>
      <c r="N155" s="329"/>
    </row>
    <row r="156" spans="1:14" s="129" customFormat="1" ht="15" x14ac:dyDescent="0.25">
      <c r="A156" s="124" t="s">
        <v>2607</v>
      </c>
      <c r="B156" s="124" t="s">
        <v>530</v>
      </c>
      <c r="C156" s="124" t="s">
        <v>506</v>
      </c>
      <c r="D156" s="125" t="s">
        <v>2639</v>
      </c>
      <c r="E156" s="125">
        <v>45</v>
      </c>
      <c r="F156" s="125" t="s">
        <v>1978</v>
      </c>
      <c r="G156" s="310">
        <v>44252</v>
      </c>
      <c r="H156" s="462">
        <f t="shared" si="4"/>
        <v>9</v>
      </c>
      <c r="I156" s="311">
        <v>26.274999999999999</v>
      </c>
      <c r="J156" s="311">
        <v>163</v>
      </c>
      <c r="K156" s="311">
        <f t="shared" si="5"/>
        <v>4282.8249999999998</v>
      </c>
      <c r="L156" s="310">
        <v>44208</v>
      </c>
      <c r="M156" s="374">
        <v>44253</v>
      </c>
      <c r="N156" s="329"/>
    </row>
    <row r="157" spans="1:14" s="129" customFormat="1" ht="15" x14ac:dyDescent="0.25">
      <c r="A157" s="124" t="s">
        <v>2618</v>
      </c>
      <c r="B157" s="124" t="s">
        <v>530</v>
      </c>
      <c r="C157" s="124" t="s">
        <v>506</v>
      </c>
      <c r="D157" s="125" t="s">
        <v>2640</v>
      </c>
      <c r="E157" s="125">
        <v>45</v>
      </c>
      <c r="F157" s="125" t="s">
        <v>1978</v>
      </c>
      <c r="G157" s="310">
        <v>44252</v>
      </c>
      <c r="H157" s="462">
        <f t="shared" si="4"/>
        <v>9</v>
      </c>
      <c r="I157" s="311">
        <v>29.375</v>
      </c>
      <c r="J157" s="311">
        <v>163</v>
      </c>
      <c r="K157" s="311">
        <f t="shared" si="5"/>
        <v>4788.125</v>
      </c>
      <c r="L157" s="310">
        <v>44208</v>
      </c>
      <c r="M157" s="374">
        <v>44253</v>
      </c>
      <c r="N157" s="329"/>
    </row>
    <row r="158" spans="1:14" s="129" customFormat="1" ht="15" x14ac:dyDescent="0.25">
      <c r="A158" s="124" t="s">
        <v>2666</v>
      </c>
      <c r="B158" s="124" t="s">
        <v>504</v>
      </c>
      <c r="C158" s="124" t="s">
        <v>1836</v>
      </c>
      <c r="D158" s="125" t="s">
        <v>2710</v>
      </c>
      <c r="E158" s="125">
        <v>30</v>
      </c>
      <c r="F158" s="125" t="s">
        <v>1978</v>
      </c>
      <c r="G158" s="310">
        <v>44249</v>
      </c>
      <c r="H158" s="462">
        <f t="shared" si="4"/>
        <v>9</v>
      </c>
      <c r="I158" s="311">
        <v>30</v>
      </c>
      <c r="J158" s="311">
        <v>2220</v>
      </c>
      <c r="K158" s="311">
        <f t="shared" si="5"/>
        <v>66600</v>
      </c>
      <c r="L158" s="310">
        <v>44221</v>
      </c>
      <c r="M158" s="374">
        <v>44253</v>
      </c>
      <c r="N158" s="329"/>
    </row>
    <row r="159" spans="1:14" ht="15" x14ac:dyDescent="0.25">
      <c r="A159" s="342" t="s">
        <v>2745</v>
      </c>
      <c r="B159" s="342" t="s">
        <v>2668</v>
      </c>
      <c r="C159" s="342" t="s">
        <v>2760</v>
      </c>
      <c r="D159" s="313" t="s">
        <v>2764</v>
      </c>
      <c r="E159" s="313" t="s">
        <v>5</v>
      </c>
      <c r="F159" s="313"/>
      <c r="G159" s="310">
        <v>44231</v>
      </c>
      <c r="H159" s="462">
        <f t="shared" si="4"/>
        <v>6</v>
      </c>
      <c r="I159" s="311">
        <v>1200</v>
      </c>
      <c r="J159" s="311">
        <v>172.07</v>
      </c>
      <c r="K159" s="311">
        <f t="shared" si="5"/>
        <v>206484</v>
      </c>
      <c r="L159" s="310">
        <v>44231</v>
      </c>
      <c r="M159" s="310">
        <v>44237</v>
      </c>
      <c r="N159" s="314"/>
    </row>
    <row r="160" spans="1:14" ht="15" x14ac:dyDescent="0.25">
      <c r="A160" s="342" t="s">
        <v>2746</v>
      </c>
      <c r="B160" s="342" t="s">
        <v>2668</v>
      </c>
      <c r="C160" s="342" t="s">
        <v>2760</v>
      </c>
      <c r="D160" s="313" t="s">
        <v>2765</v>
      </c>
      <c r="E160" s="313" t="s">
        <v>5</v>
      </c>
      <c r="F160" s="313"/>
      <c r="G160" s="310">
        <v>44231</v>
      </c>
      <c r="H160" s="462">
        <f t="shared" si="4"/>
        <v>6</v>
      </c>
      <c r="I160" s="311">
        <v>500</v>
      </c>
      <c r="J160" s="311">
        <v>169.78</v>
      </c>
      <c r="K160" s="311">
        <f t="shared" si="5"/>
        <v>84890</v>
      </c>
      <c r="L160" s="310">
        <v>44231</v>
      </c>
      <c r="M160" s="310">
        <v>44237</v>
      </c>
      <c r="N160" s="314"/>
    </row>
    <row r="161" spans="1:14" ht="15" x14ac:dyDescent="0.25">
      <c r="A161" s="342" t="s">
        <v>2747</v>
      </c>
      <c r="B161" s="342" t="s">
        <v>2668</v>
      </c>
      <c r="C161" s="342" t="s">
        <v>2760</v>
      </c>
      <c r="D161" s="313" t="s">
        <v>2765</v>
      </c>
      <c r="E161" s="313" t="s">
        <v>5</v>
      </c>
      <c r="F161" s="313"/>
      <c r="G161" s="310">
        <v>44231</v>
      </c>
      <c r="H161" s="462">
        <f t="shared" si="4"/>
        <v>6</v>
      </c>
      <c r="I161" s="311">
        <v>1000</v>
      </c>
      <c r="J161" s="311">
        <v>169.78</v>
      </c>
      <c r="K161" s="311">
        <f t="shared" si="5"/>
        <v>169780</v>
      </c>
      <c r="L161" s="310">
        <v>44231</v>
      </c>
      <c r="M161" s="310">
        <v>44237</v>
      </c>
      <c r="N161" s="314"/>
    </row>
    <row r="162" spans="1:14" ht="15" x14ac:dyDescent="0.25">
      <c r="A162" s="342" t="s">
        <v>2748</v>
      </c>
      <c r="B162" s="342" t="s">
        <v>2668</v>
      </c>
      <c r="C162" s="342" t="s">
        <v>2760</v>
      </c>
      <c r="D162" s="313" t="s">
        <v>2766</v>
      </c>
      <c r="E162" s="313" t="s">
        <v>5</v>
      </c>
      <c r="F162" s="313"/>
      <c r="G162" s="310">
        <v>44231</v>
      </c>
      <c r="H162" s="462">
        <f t="shared" si="4"/>
        <v>6</v>
      </c>
      <c r="I162" s="311">
        <v>200</v>
      </c>
      <c r="J162" s="311">
        <v>175.23</v>
      </c>
      <c r="K162" s="311">
        <f t="shared" si="5"/>
        <v>35046</v>
      </c>
      <c r="L162" s="310">
        <v>44231</v>
      </c>
      <c r="M162" s="310">
        <v>44237</v>
      </c>
      <c r="N162" s="314"/>
    </row>
    <row r="163" spans="1:14" ht="15" x14ac:dyDescent="0.25">
      <c r="A163" s="342" t="s">
        <v>2749</v>
      </c>
      <c r="B163" s="342" t="s">
        <v>2668</v>
      </c>
      <c r="C163" s="342" t="s">
        <v>2760</v>
      </c>
      <c r="D163" s="313" t="s">
        <v>2767</v>
      </c>
      <c r="E163" s="313" t="s">
        <v>5</v>
      </c>
      <c r="F163" s="313"/>
      <c r="G163" s="310">
        <v>44231</v>
      </c>
      <c r="H163" s="462">
        <f t="shared" si="4"/>
        <v>6</v>
      </c>
      <c r="I163" s="311">
        <v>100</v>
      </c>
      <c r="J163" s="311">
        <v>166.33</v>
      </c>
      <c r="K163" s="311">
        <f t="shared" si="5"/>
        <v>16633</v>
      </c>
      <c r="L163" s="310">
        <v>44231</v>
      </c>
      <c r="M163" s="310">
        <v>44237</v>
      </c>
      <c r="N163" s="314"/>
    </row>
    <row r="164" spans="1:14" x14ac:dyDescent="0.3">
      <c r="A164" s="342" t="s">
        <v>2750</v>
      </c>
      <c r="B164" s="342" t="s">
        <v>1387</v>
      </c>
      <c r="C164" s="342" t="s">
        <v>2760</v>
      </c>
      <c r="D164" s="313" t="s">
        <v>2768</v>
      </c>
      <c r="E164" s="313" t="s">
        <v>5</v>
      </c>
      <c r="F164" s="313"/>
      <c r="G164" s="310">
        <v>44231</v>
      </c>
      <c r="H164" s="462">
        <f t="shared" si="4"/>
        <v>6</v>
      </c>
      <c r="I164" s="311">
        <v>200</v>
      </c>
      <c r="J164" s="311">
        <v>483.6</v>
      </c>
      <c r="K164" s="311">
        <f t="shared" si="5"/>
        <v>96720</v>
      </c>
      <c r="L164" s="310">
        <v>44231</v>
      </c>
      <c r="M164" s="310">
        <v>44237</v>
      </c>
      <c r="N164" s="314"/>
    </row>
    <row r="165" spans="1:14" x14ac:dyDescent="0.3">
      <c r="A165" s="342" t="s">
        <v>2751</v>
      </c>
      <c r="B165" s="342" t="s">
        <v>1387</v>
      </c>
      <c r="C165" s="342" t="s">
        <v>2760</v>
      </c>
      <c r="D165" s="313" t="s">
        <v>2769</v>
      </c>
      <c r="E165" s="313" t="s">
        <v>5</v>
      </c>
      <c r="F165" s="313"/>
      <c r="G165" s="310">
        <v>44231</v>
      </c>
      <c r="H165" s="462">
        <f t="shared" si="4"/>
        <v>6</v>
      </c>
      <c r="I165" s="311">
        <v>1000</v>
      </c>
      <c r="J165" s="311">
        <v>481.27</v>
      </c>
      <c r="K165" s="311">
        <f t="shared" si="5"/>
        <v>481270</v>
      </c>
      <c r="L165" s="310">
        <v>44231</v>
      </c>
      <c r="M165" s="310">
        <v>44237</v>
      </c>
      <c r="N165" s="314"/>
    </row>
    <row r="166" spans="1:14" x14ac:dyDescent="0.3">
      <c r="A166" s="342" t="s">
        <v>2752</v>
      </c>
      <c r="B166" s="342" t="s">
        <v>1387</v>
      </c>
      <c r="C166" s="342" t="s">
        <v>2760</v>
      </c>
      <c r="D166" s="313" t="s">
        <v>2770</v>
      </c>
      <c r="E166" s="313" t="s">
        <v>5</v>
      </c>
      <c r="F166" s="313"/>
      <c r="G166" s="310">
        <v>44231</v>
      </c>
      <c r="H166" s="462">
        <f t="shared" si="4"/>
        <v>6</v>
      </c>
      <c r="I166" s="311">
        <v>210</v>
      </c>
      <c r="J166" s="311">
        <v>486.77</v>
      </c>
      <c r="K166" s="311">
        <f t="shared" si="5"/>
        <v>102221.7</v>
      </c>
      <c r="L166" s="310">
        <v>44231</v>
      </c>
      <c r="M166" s="310">
        <v>44237</v>
      </c>
      <c r="N166" s="314"/>
    </row>
    <row r="167" spans="1:14" x14ac:dyDescent="0.3">
      <c r="A167" s="342" t="s">
        <v>2753</v>
      </c>
      <c r="B167" s="342" t="s">
        <v>1387</v>
      </c>
      <c r="C167" s="342" t="s">
        <v>2760</v>
      </c>
      <c r="D167" s="313" t="s">
        <v>2770</v>
      </c>
      <c r="E167" s="313" t="s">
        <v>5</v>
      </c>
      <c r="F167" s="313"/>
      <c r="G167" s="310">
        <v>44231</v>
      </c>
      <c r="H167" s="462">
        <f t="shared" si="4"/>
        <v>6</v>
      </c>
      <c r="I167" s="311">
        <v>790</v>
      </c>
      <c r="J167" s="311">
        <v>486.77</v>
      </c>
      <c r="K167" s="311">
        <f t="shared" si="5"/>
        <v>384548.3</v>
      </c>
      <c r="L167" s="310">
        <v>44231</v>
      </c>
      <c r="M167" s="310">
        <v>44237</v>
      </c>
      <c r="N167" s="314"/>
    </row>
    <row r="168" spans="1:14" x14ac:dyDescent="0.3">
      <c r="A168" s="342" t="s">
        <v>2754</v>
      </c>
      <c r="B168" s="342" t="s">
        <v>1387</v>
      </c>
      <c r="C168" s="342" t="s">
        <v>2760</v>
      </c>
      <c r="D168" s="313" t="s">
        <v>2771</v>
      </c>
      <c r="E168" s="313" t="s">
        <v>5</v>
      </c>
      <c r="F168" s="313"/>
      <c r="G168" s="310">
        <v>44231</v>
      </c>
      <c r="H168" s="462">
        <f t="shared" si="4"/>
        <v>6</v>
      </c>
      <c r="I168" s="311">
        <v>800</v>
      </c>
      <c r="J168" s="311">
        <v>476.92</v>
      </c>
      <c r="K168" s="311">
        <f t="shared" si="5"/>
        <v>381536</v>
      </c>
      <c r="L168" s="310">
        <v>44231</v>
      </c>
      <c r="M168" s="310">
        <v>44237</v>
      </c>
      <c r="N168" s="314"/>
    </row>
    <row r="169" spans="1:14" s="129" customFormat="1" x14ac:dyDescent="0.3">
      <c r="A169" s="331" t="s">
        <v>2381</v>
      </c>
      <c r="B169" s="124" t="s">
        <v>1040</v>
      </c>
      <c r="C169" s="124" t="s">
        <v>550</v>
      </c>
      <c r="D169" s="125" t="s">
        <v>2394</v>
      </c>
      <c r="E169" s="125">
        <v>90</v>
      </c>
      <c r="F169" s="125" t="s">
        <v>1978</v>
      </c>
      <c r="G169" s="310">
        <v>44235</v>
      </c>
      <c r="H169" s="462">
        <f t="shared" si="4"/>
        <v>7</v>
      </c>
      <c r="I169" s="311">
        <v>30</v>
      </c>
      <c r="J169" s="311">
        <v>549</v>
      </c>
      <c r="K169" s="311">
        <f t="shared" si="5"/>
        <v>16470</v>
      </c>
      <c r="L169" s="310">
        <v>44153</v>
      </c>
      <c r="M169" s="310">
        <v>44239</v>
      </c>
      <c r="N169" s="329"/>
    </row>
    <row r="170" spans="1:14" s="129" customFormat="1" ht="15" x14ac:dyDescent="0.25">
      <c r="A170" s="331" t="s">
        <v>2587</v>
      </c>
      <c r="B170" s="331" t="s">
        <v>530</v>
      </c>
      <c r="C170" s="331" t="s">
        <v>506</v>
      </c>
      <c r="D170" s="125" t="s">
        <v>2590</v>
      </c>
      <c r="E170" s="125">
        <v>47</v>
      </c>
      <c r="F170" s="125" t="s">
        <v>1978</v>
      </c>
      <c r="G170" s="310">
        <v>44238</v>
      </c>
      <c r="H170" s="462">
        <f t="shared" si="4"/>
        <v>7</v>
      </c>
      <c r="I170" s="311">
        <v>8.5</v>
      </c>
      <c r="J170" s="311">
        <v>165</v>
      </c>
      <c r="K170" s="311">
        <f t="shared" si="5"/>
        <v>1402.5</v>
      </c>
      <c r="L170" s="310">
        <v>44186</v>
      </c>
      <c r="M170" s="310">
        <v>44239</v>
      </c>
      <c r="N170" s="329"/>
    </row>
    <row r="171" spans="1:14" s="129" customFormat="1" ht="15" x14ac:dyDescent="0.25">
      <c r="A171" s="124" t="s">
        <v>2567</v>
      </c>
      <c r="B171" s="124" t="s">
        <v>530</v>
      </c>
      <c r="C171" s="124" t="s">
        <v>506</v>
      </c>
      <c r="D171" s="125" t="s">
        <v>2577</v>
      </c>
      <c r="E171" s="125">
        <v>45</v>
      </c>
      <c r="F171" s="125" t="s">
        <v>1978</v>
      </c>
      <c r="G171" s="310">
        <v>44236</v>
      </c>
      <c r="H171" s="462">
        <f t="shared" si="4"/>
        <v>7</v>
      </c>
      <c r="I171" s="311">
        <v>33</v>
      </c>
      <c r="J171" s="311">
        <v>163</v>
      </c>
      <c r="K171" s="311">
        <f t="shared" si="5"/>
        <v>5379</v>
      </c>
      <c r="L171" s="310">
        <v>44193</v>
      </c>
      <c r="M171" s="310">
        <v>44239</v>
      </c>
      <c r="N171" s="329"/>
    </row>
    <row r="172" spans="1:14" s="129" customFormat="1" ht="15" x14ac:dyDescent="0.25">
      <c r="A172" s="124" t="s">
        <v>2568</v>
      </c>
      <c r="B172" s="124" t="s">
        <v>530</v>
      </c>
      <c r="C172" s="124" t="s">
        <v>506</v>
      </c>
      <c r="D172" s="125" t="s">
        <v>2578</v>
      </c>
      <c r="E172" s="125">
        <v>45</v>
      </c>
      <c r="F172" s="125" t="s">
        <v>1978</v>
      </c>
      <c r="G172" s="310">
        <v>44238</v>
      </c>
      <c r="H172" s="462">
        <f t="shared" si="4"/>
        <v>7</v>
      </c>
      <c r="I172" s="311">
        <v>29.2</v>
      </c>
      <c r="J172" s="311">
        <v>163</v>
      </c>
      <c r="K172" s="311">
        <f t="shared" si="5"/>
        <v>4759.5999999999995</v>
      </c>
      <c r="L172" s="310">
        <v>44194</v>
      </c>
      <c r="M172" s="310">
        <v>44239</v>
      </c>
      <c r="N172" s="329"/>
    </row>
    <row r="173" spans="1:14" s="129" customFormat="1" ht="15" x14ac:dyDescent="0.25">
      <c r="A173" s="124" t="s">
        <v>2570</v>
      </c>
      <c r="B173" s="124" t="s">
        <v>530</v>
      </c>
      <c r="C173" s="124" t="s">
        <v>506</v>
      </c>
      <c r="D173" s="125" t="s">
        <v>2579</v>
      </c>
      <c r="E173" s="125">
        <v>45</v>
      </c>
      <c r="F173" s="125" t="s">
        <v>1978</v>
      </c>
      <c r="G173" s="310">
        <v>44239</v>
      </c>
      <c r="H173" s="462">
        <f t="shared" si="4"/>
        <v>7</v>
      </c>
      <c r="I173" s="311">
        <v>30</v>
      </c>
      <c r="J173" s="311">
        <v>163</v>
      </c>
      <c r="K173" s="311">
        <f t="shared" si="5"/>
        <v>4890</v>
      </c>
      <c r="L173" s="310">
        <v>44194</v>
      </c>
      <c r="M173" s="310">
        <v>44239</v>
      </c>
      <c r="N173" s="329"/>
    </row>
    <row r="174" spans="1:14" s="129" customFormat="1" ht="15" x14ac:dyDescent="0.25">
      <c r="A174" s="124" t="s">
        <v>2758</v>
      </c>
      <c r="B174" s="124" t="s">
        <v>2701</v>
      </c>
      <c r="C174" s="124" t="s">
        <v>589</v>
      </c>
      <c r="D174" s="125" t="s">
        <v>2777</v>
      </c>
      <c r="E174" s="125">
        <v>30</v>
      </c>
      <c r="F174" s="125" t="s">
        <v>1978</v>
      </c>
      <c r="G174" s="310">
        <v>44255</v>
      </c>
      <c r="H174" s="462">
        <f t="shared" si="4"/>
        <v>10</v>
      </c>
      <c r="I174" s="311">
        <v>30</v>
      </c>
      <c r="J174" s="311">
        <v>305</v>
      </c>
      <c r="K174" s="311">
        <f t="shared" si="5"/>
        <v>9150</v>
      </c>
      <c r="L174" s="310">
        <v>44229</v>
      </c>
      <c r="M174" s="310">
        <v>44253</v>
      </c>
      <c r="N174" s="329"/>
    </row>
    <row r="175" spans="1:14" s="129" customFormat="1" ht="15" x14ac:dyDescent="0.25">
      <c r="A175" s="124" t="s">
        <v>2759</v>
      </c>
      <c r="B175" s="124" t="s">
        <v>2701</v>
      </c>
      <c r="C175" s="124" t="s">
        <v>589</v>
      </c>
      <c r="D175" s="125" t="s">
        <v>2778</v>
      </c>
      <c r="E175" s="125">
        <v>30</v>
      </c>
      <c r="F175" s="125" t="s">
        <v>1978</v>
      </c>
      <c r="G175" s="310">
        <v>44256</v>
      </c>
      <c r="H175" s="462">
        <f t="shared" si="4"/>
        <v>10</v>
      </c>
      <c r="I175" s="311">
        <v>30</v>
      </c>
      <c r="J175" s="311">
        <v>305</v>
      </c>
      <c r="K175" s="311">
        <f t="shared" si="5"/>
        <v>9150</v>
      </c>
      <c r="L175" s="310">
        <v>44229</v>
      </c>
      <c r="M175" s="310">
        <v>44253</v>
      </c>
      <c r="N175" s="329"/>
    </row>
    <row r="176" spans="1:14" ht="15" x14ac:dyDescent="0.25">
      <c r="A176" s="342" t="s">
        <v>2755</v>
      </c>
      <c r="B176" s="342" t="s">
        <v>2702</v>
      </c>
      <c r="C176" s="342" t="s">
        <v>2704</v>
      </c>
      <c r="D176" s="313" t="s">
        <v>2774</v>
      </c>
      <c r="E176" s="313">
        <v>30</v>
      </c>
      <c r="F176" s="313" t="s">
        <v>1978</v>
      </c>
      <c r="G176" s="310">
        <v>44261</v>
      </c>
      <c r="H176" s="462">
        <f t="shared" si="4"/>
        <v>10</v>
      </c>
      <c r="I176" s="311">
        <v>60</v>
      </c>
      <c r="J176" s="311">
        <v>1100</v>
      </c>
      <c r="K176" s="311">
        <f t="shared" si="5"/>
        <v>66000</v>
      </c>
      <c r="L176" s="310">
        <v>44231</v>
      </c>
      <c r="M176" s="310">
        <v>44253</v>
      </c>
      <c r="N176" s="314"/>
    </row>
    <row r="177" spans="1:14" ht="15" x14ac:dyDescent="0.25">
      <c r="A177" s="342" t="s">
        <v>2756</v>
      </c>
      <c r="B177" s="342" t="s">
        <v>2702</v>
      </c>
      <c r="C177" s="342" t="s">
        <v>2704</v>
      </c>
      <c r="D177" s="313" t="s">
        <v>2775</v>
      </c>
      <c r="E177" s="313">
        <v>30</v>
      </c>
      <c r="F177" s="313" t="s">
        <v>1978</v>
      </c>
      <c r="G177" s="310">
        <v>44262</v>
      </c>
      <c r="H177" s="462">
        <f t="shared" si="4"/>
        <v>11</v>
      </c>
      <c r="I177" s="311">
        <v>60</v>
      </c>
      <c r="J177" s="311">
        <v>1100</v>
      </c>
      <c r="K177" s="311">
        <f t="shared" si="5"/>
        <v>66000</v>
      </c>
      <c r="L177" s="310">
        <v>44232</v>
      </c>
      <c r="M177" s="310">
        <v>44253</v>
      </c>
      <c r="N177" s="314"/>
    </row>
    <row r="178" spans="1:14" x14ac:dyDescent="0.3">
      <c r="A178" s="331" t="s">
        <v>2345</v>
      </c>
      <c r="B178" s="124" t="s">
        <v>1691</v>
      </c>
      <c r="C178" s="124" t="s">
        <v>1511</v>
      </c>
      <c r="D178" s="125" t="s">
        <v>2386</v>
      </c>
      <c r="E178" s="313" t="s">
        <v>5</v>
      </c>
      <c r="F178" s="313"/>
      <c r="G178" s="310">
        <v>44155</v>
      </c>
      <c r="H178" s="462">
        <f t="shared" si="4"/>
        <v>47</v>
      </c>
      <c r="I178" s="311">
        <v>4.72</v>
      </c>
      <c r="J178" s="311">
        <v>133.22999999999999</v>
      </c>
      <c r="K178" s="311">
        <f t="shared" si="5"/>
        <v>628.84559999999988</v>
      </c>
      <c r="L178" s="310">
        <v>44152</v>
      </c>
      <c r="M178" s="310">
        <v>44161</v>
      </c>
      <c r="N178" s="314"/>
    </row>
    <row r="179" spans="1:14" s="129" customFormat="1" ht="15" x14ac:dyDescent="0.25">
      <c r="A179" s="124" t="s">
        <v>2652</v>
      </c>
      <c r="B179" s="124" t="s">
        <v>530</v>
      </c>
      <c r="C179" s="124" t="s">
        <v>506</v>
      </c>
      <c r="D179" s="125" t="s">
        <v>2672</v>
      </c>
      <c r="E179" s="125">
        <v>45</v>
      </c>
      <c r="F179" s="125" t="s">
        <v>1978</v>
      </c>
      <c r="G179" s="310">
        <v>44260</v>
      </c>
      <c r="H179" s="462">
        <f t="shared" si="4"/>
        <v>10</v>
      </c>
      <c r="I179" s="311">
        <v>28.1</v>
      </c>
      <c r="J179" s="311">
        <v>170</v>
      </c>
      <c r="K179" s="311">
        <f t="shared" si="5"/>
        <v>4777</v>
      </c>
      <c r="L179" s="310">
        <v>44216</v>
      </c>
      <c r="M179" s="310">
        <v>44263</v>
      </c>
      <c r="N179" s="314"/>
    </row>
    <row r="180" spans="1:14" s="129" customFormat="1" ht="15" x14ac:dyDescent="0.25">
      <c r="A180" s="124" t="s">
        <v>2635</v>
      </c>
      <c r="B180" s="124" t="s">
        <v>530</v>
      </c>
      <c r="C180" s="124" t="s">
        <v>506</v>
      </c>
      <c r="D180" s="125" t="s">
        <v>2708</v>
      </c>
      <c r="E180" s="125">
        <v>45</v>
      </c>
      <c r="F180" s="125" t="s">
        <v>1978</v>
      </c>
      <c r="G180" s="310">
        <v>44254</v>
      </c>
      <c r="H180" s="462">
        <f t="shared" si="4"/>
        <v>9</v>
      </c>
      <c r="I180" s="311">
        <v>6.3</v>
      </c>
      <c r="J180" s="311">
        <v>170</v>
      </c>
      <c r="K180" s="311">
        <f t="shared" si="5"/>
        <v>1071</v>
      </c>
      <c r="L180" s="310">
        <v>44213</v>
      </c>
      <c r="M180" s="310">
        <v>44263</v>
      </c>
      <c r="N180" s="314"/>
    </row>
    <row r="181" spans="1:14" s="129" customFormat="1" ht="15" x14ac:dyDescent="0.25">
      <c r="A181" s="124" t="s">
        <v>2636</v>
      </c>
      <c r="B181" s="124" t="s">
        <v>530</v>
      </c>
      <c r="C181" s="124" t="s">
        <v>506</v>
      </c>
      <c r="D181" s="125" t="s">
        <v>2657</v>
      </c>
      <c r="E181" s="125">
        <v>45</v>
      </c>
      <c r="F181" s="125" t="s">
        <v>1978</v>
      </c>
      <c r="G181" s="310">
        <v>44254</v>
      </c>
      <c r="H181" s="462">
        <f t="shared" si="4"/>
        <v>9</v>
      </c>
      <c r="I181" s="311">
        <v>22.5</v>
      </c>
      <c r="J181" s="311">
        <v>170</v>
      </c>
      <c r="K181" s="311">
        <f t="shared" si="5"/>
        <v>3825</v>
      </c>
      <c r="L181" s="310">
        <v>44213</v>
      </c>
      <c r="M181" s="310">
        <v>44263</v>
      </c>
      <c r="N181" s="314"/>
    </row>
    <row r="182" spans="1:14" s="129" customFormat="1" ht="15" x14ac:dyDescent="0.25">
      <c r="A182" s="124" t="s">
        <v>2637</v>
      </c>
      <c r="B182" s="124" t="s">
        <v>530</v>
      </c>
      <c r="C182" s="124" t="s">
        <v>506</v>
      </c>
      <c r="D182" s="125" t="s">
        <v>2670</v>
      </c>
      <c r="E182" s="125">
        <v>45</v>
      </c>
      <c r="F182" s="125" t="s">
        <v>1978</v>
      </c>
      <c r="G182" s="310">
        <v>44256</v>
      </c>
      <c r="H182" s="462">
        <f t="shared" si="4"/>
        <v>10</v>
      </c>
      <c r="I182" s="311">
        <v>21.125</v>
      </c>
      <c r="J182" s="311">
        <v>170</v>
      </c>
      <c r="K182" s="311">
        <f t="shared" si="5"/>
        <v>3591.25</v>
      </c>
      <c r="L182" s="310">
        <v>44214</v>
      </c>
      <c r="M182" s="310">
        <v>44263</v>
      </c>
      <c r="N182" s="314"/>
    </row>
    <row r="183" spans="1:14" s="129" customFormat="1" ht="15" x14ac:dyDescent="0.25">
      <c r="A183" s="124" t="s">
        <v>2638</v>
      </c>
      <c r="B183" s="124" t="s">
        <v>530</v>
      </c>
      <c r="C183" s="124" t="s">
        <v>506</v>
      </c>
      <c r="D183" s="125" t="s">
        <v>2658</v>
      </c>
      <c r="E183" s="125">
        <v>45</v>
      </c>
      <c r="F183" s="125" t="s">
        <v>1978</v>
      </c>
      <c r="G183" s="310">
        <v>44255</v>
      </c>
      <c r="H183" s="462">
        <f t="shared" si="4"/>
        <v>10</v>
      </c>
      <c r="I183" s="311">
        <v>21</v>
      </c>
      <c r="J183" s="311">
        <v>170</v>
      </c>
      <c r="K183" s="311">
        <f t="shared" si="5"/>
        <v>3570</v>
      </c>
      <c r="L183" s="310">
        <v>44213</v>
      </c>
      <c r="M183" s="310">
        <v>44263</v>
      </c>
      <c r="N183" s="314"/>
    </row>
    <row r="184" spans="1:14" s="129" customFormat="1" ht="15" x14ac:dyDescent="0.25">
      <c r="A184" s="124" t="s">
        <v>2648</v>
      </c>
      <c r="B184" s="124" t="s">
        <v>530</v>
      </c>
      <c r="C184" s="124" t="s">
        <v>506</v>
      </c>
      <c r="D184" s="125" t="s">
        <v>2659</v>
      </c>
      <c r="E184" s="125">
        <v>45</v>
      </c>
      <c r="F184" s="125" t="s">
        <v>1978</v>
      </c>
      <c r="G184" s="310">
        <v>44255</v>
      </c>
      <c r="H184" s="462">
        <f t="shared" si="4"/>
        <v>10</v>
      </c>
      <c r="I184" s="311">
        <v>26.3</v>
      </c>
      <c r="J184" s="311">
        <v>170</v>
      </c>
      <c r="K184" s="311">
        <f t="shared" si="5"/>
        <v>4471</v>
      </c>
      <c r="L184" s="310">
        <v>44213</v>
      </c>
      <c r="M184" s="310">
        <v>44263</v>
      </c>
      <c r="N184" s="314"/>
    </row>
    <row r="185" spans="1:14" s="129" customFormat="1" ht="15" x14ac:dyDescent="0.25">
      <c r="A185" s="124" t="s">
        <v>2649</v>
      </c>
      <c r="B185" s="124" t="s">
        <v>530</v>
      </c>
      <c r="C185" s="124" t="s">
        <v>506</v>
      </c>
      <c r="D185" s="125" t="s">
        <v>2660</v>
      </c>
      <c r="E185" s="125">
        <v>45</v>
      </c>
      <c r="F185" s="125" t="s">
        <v>1978</v>
      </c>
      <c r="G185" s="310">
        <v>44254</v>
      </c>
      <c r="H185" s="462">
        <f t="shared" si="4"/>
        <v>9</v>
      </c>
      <c r="I185" s="311">
        <v>38</v>
      </c>
      <c r="J185" s="311">
        <v>170</v>
      </c>
      <c r="K185" s="311">
        <f t="shared" si="5"/>
        <v>6460</v>
      </c>
      <c r="L185" s="310">
        <v>44213</v>
      </c>
      <c r="M185" s="310">
        <v>44263</v>
      </c>
      <c r="N185" s="314"/>
    </row>
    <row r="186" spans="1:14" s="129" customFormat="1" ht="15" x14ac:dyDescent="0.25">
      <c r="A186" s="124" t="s">
        <v>2650</v>
      </c>
      <c r="B186" s="124" t="s">
        <v>530</v>
      </c>
      <c r="C186" s="124" t="s">
        <v>506</v>
      </c>
      <c r="D186" s="125" t="s">
        <v>2671</v>
      </c>
      <c r="E186" s="125">
        <v>45</v>
      </c>
      <c r="F186" s="125" t="s">
        <v>1978</v>
      </c>
      <c r="G186" s="310">
        <v>44256</v>
      </c>
      <c r="H186" s="462">
        <f t="shared" si="4"/>
        <v>10</v>
      </c>
      <c r="I186" s="311">
        <v>38</v>
      </c>
      <c r="J186" s="311">
        <v>170</v>
      </c>
      <c r="K186" s="311">
        <f t="shared" si="5"/>
        <v>6460</v>
      </c>
      <c r="L186" s="310">
        <v>44214</v>
      </c>
      <c r="M186" s="310">
        <v>44263</v>
      </c>
      <c r="N186" s="314"/>
    </row>
    <row r="187" spans="1:14" s="129" customFormat="1" ht="15" x14ac:dyDescent="0.25">
      <c r="A187" s="124" t="s">
        <v>2619</v>
      </c>
      <c r="B187" s="124" t="s">
        <v>530</v>
      </c>
      <c r="C187" s="124" t="s">
        <v>506</v>
      </c>
      <c r="D187" s="125" t="s">
        <v>2705</v>
      </c>
      <c r="E187" s="125">
        <v>45</v>
      </c>
      <c r="F187" s="125" t="s">
        <v>1978</v>
      </c>
      <c r="G187" s="310">
        <v>44254</v>
      </c>
      <c r="H187" s="462">
        <f t="shared" si="4"/>
        <v>9</v>
      </c>
      <c r="I187" s="311">
        <v>22.2</v>
      </c>
      <c r="J187" s="311">
        <v>163</v>
      </c>
      <c r="K187" s="311">
        <f t="shared" si="5"/>
        <v>3618.6</v>
      </c>
      <c r="L187" s="310">
        <v>44213</v>
      </c>
      <c r="M187" s="310">
        <v>44263</v>
      </c>
      <c r="N187" s="314"/>
    </row>
    <row r="188" spans="1:14" s="129" customFormat="1" x14ac:dyDescent="0.3">
      <c r="A188" s="331" t="s">
        <v>2523</v>
      </c>
      <c r="B188" s="124" t="s">
        <v>1040</v>
      </c>
      <c r="C188" s="331" t="s">
        <v>550</v>
      </c>
      <c r="D188" s="125" t="s">
        <v>2526</v>
      </c>
      <c r="E188" s="125">
        <v>90</v>
      </c>
      <c r="F188" s="125" t="s">
        <v>1978</v>
      </c>
      <c r="G188" s="310">
        <v>44256</v>
      </c>
      <c r="H188" s="462">
        <f t="shared" si="4"/>
        <v>10</v>
      </c>
      <c r="I188" s="311">
        <v>30</v>
      </c>
      <c r="J188" s="311">
        <v>549</v>
      </c>
      <c r="K188" s="311">
        <f t="shared" si="5"/>
        <v>16470</v>
      </c>
      <c r="L188" s="310">
        <v>44186</v>
      </c>
      <c r="M188" s="310">
        <v>44263</v>
      </c>
      <c r="N188" s="314"/>
    </row>
    <row r="189" spans="1:14" s="129" customFormat="1" x14ac:dyDescent="0.3">
      <c r="A189" s="124" t="s">
        <v>2820</v>
      </c>
      <c r="B189" s="124" t="s">
        <v>2668</v>
      </c>
      <c r="C189" s="124" t="s">
        <v>2760</v>
      </c>
      <c r="D189" s="125" t="s">
        <v>2821</v>
      </c>
      <c r="E189" s="125">
        <v>7</v>
      </c>
      <c r="F189" s="125" t="s">
        <v>509</v>
      </c>
      <c r="G189" s="310">
        <v>44259</v>
      </c>
      <c r="H189" s="462">
        <f t="shared" si="4"/>
        <v>10</v>
      </c>
      <c r="I189" s="311">
        <v>2.4300000000000002</v>
      </c>
      <c r="J189" s="311">
        <v>166.33</v>
      </c>
      <c r="K189" s="311">
        <f t="shared" si="5"/>
        <v>404.18190000000004</v>
      </c>
      <c r="L189" s="310">
        <v>44252</v>
      </c>
      <c r="M189" s="310">
        <v>44263</v>
      </c>
      <c r="N189" s="314"/>
    </row>
    <row r="190" spans="1:14" s="129" customFormat="1" x14ac:dyDescent="0.3">
      <c r="A190" s="124" t="s">
        <v>2822</v>
      </c>
      <c r="B190" s="124" t="s">
        <v>1387</v>
      </c>
      <c r="C190" s="124" t="s">
        <v>2760</v>
      </c>
      <c r="D190" s="125" t="s">
        <v>2821</v>
      </c>
      <c r="E190" s="125">
        <v>7</v>
      </c>
      <c r="F190" s="125" t="s">
        <v>509</v>
      </c>
      <c r="G190" s="310">
        <v>44259</v>
      </c>
      <c r="H190" s="462">
        <f t="shared" si="4"/>
        <v>10</v>
      </c>
      <c r="I190" s="311">
        <v>1.51</v>
      </c>
      <c r="J190" s="311">
        <v>476.92</v>
      </c>
      <c r="K190" s="311">
        <f t="shared" si="5"/>
        <v>720.14920000000006</v>
      </c>
      <c r="L190" s="310">
        <v>44252</v>
      </c>
      <c r="M190" s="310">
        <v>44263</v>
      </c>
      <c r="N190" s="314"/>
    </row>
    <row r="191" spans="1:14" s="129" customFormat="1" ht="15" x14ac:dyDescent="0.25">
      <c r="A191" s="124" t="s">
        <v>2698</v>
      </c>
      <c r="B191" s="124" t="s">
        <v>504</v>
      </c>
      <c r="C191" s="124" t="s">
        <v>1836</v>
      </c>
      <c r="D191" s="125" t="s">
        <v>2772</v>
      </c>
      <c r="E191" s="125">
        <v>30</v>
      </c>
      <c r="F191" s="125" t="s">
        <v>1978</v>
      </c>
      <c r="G191" s="310">
        <v>44256</v>
      </c>
      <c r="H191" s="462">
        <f t="shared" si="4"/>
        <v>10</v>
      </c>
      <c r="I191" s="311">
        <v>30</v>
      </c>
      <c r="J191" s="311">
        <v>2220</v>
      </c>
      <c r="K191" s="311">
        <f t="shared" si="5"/>
        <v>66600</v>
      </c>
      <c r="L191" s="310">
        <v>44229</v>
      </c>
      <c r="M191" s="310">
        <v>44263</v>
      </c>
      <c r="N191" s="314"/>
    </row>
    <row r="192" spans="1:14" s="129" customFormat="1" x14ac:dyDescent="0.3">
      <c r="A192" s="124" t="s">
        <v>2786</v>
      </c>
      <c r="B192" s="124" t="s">
        <v>2202</v>
      </c>
      <c r="C192" s="124" t="s">
        <v>1842</v>
      </c>
      <c r="D192" s="125" t="s">
        <v>2902</v>
      </c>
      <c r="E192" s="125">
        <v>15</v>
      </c>
      <c r="F192" s="125" t="s">
        <v>1978</v>
      </c>
      <c r="G192" s="310">
        <v>44258</v>
      </c>
      <c r="H192" s="462">
        <f t="shared" si="4"/>
        <v>10</v>
      </c>
      <c r="I192" s="311">
        <v>1000</v>
      </c>
      <c r="J192" s="311">
        <v>395</v>
      </c>
      <c r="K192" s="311">
        <f t="shared" si="5"/>
        <v>395000</v>
      </c>
      <c r="L192" s="310">
        <v>44244</v>
      </c>
      <c r="M192" s="310">
        <v>44263</v>
      </c>
      <c r="N192" s="314"/>
    </row>
    <row r="193" spans="1:14" s="129" customFormat="1" x14ac:dyDescent="0.3">
      <c r="A193" s="124" t="s">
        <v>2787</v>
      </c>
      <c r="B193" s="124" t="s">
        <v>2202</v>
      </c>
      <c r="C193" s="124" t="s">
        <v>1842</v>
      </c>
      <c r="D193" s="125" t="s">
        <v>2793</v>
      </c>
      <c r="E193" s="125">
        <v>15</v>
      </c>
      <c r="F193" s="125" t="s">
        <v>1978</v>
      </c>
      <c r="G193" s="310">
        <v>44259</v>
      </c>
      <c r="H193" s="462">
        <f t="shared" si="4"/>
        <v>10</v>
      </c>
      <c r="I193" s="311">
        <v>1000</v>
      </c>
      <c r="J193" s="311">
        <v>395</v>
      </c>
      <c r="K193" s="311">
        <f t="shared" si="5"/>
        <v>395000</v>
      </c>
      <c r="L193" s="310">
        <v>44250</v>
      </c>
      <c r="M193" s="310">
        <v>44263</v>
      </c>
      <c r="N193" s="314"/>
    </row>
    <row r="194" spans="1:14" s="376" customFormat="1" ht="15" x14ac:dyDescent="0.25">
      <c r="A194" s="372" t="s">
        <v>2651</v>
      </c>
      <c r="B194" s="372" t="s">
        <v>530</v>
      </c>
      <c r="C194" s="372" t="s">
        <v>506</v>
      </c>
      <c r="D194" s="125" t="s">
        <v>2709</v>
      </c>
      <c r="E194" s="125">
        <v>45</v>
      </c>
      <c r="F194" s="125" t="s">
        <v>1978</v>
      </c>
      <c r="G194" s="310">
        <v>44267</v>
      </c>
      <c r="H194" s="462">
        <f t="shared" ref="H194:H257" si="6">WEEKNUM(G194)</f>
        <v>11</v>
      </c>
      <c r="I194" s="311">
        <v>33</v>
      </c>
      <c r="J194" s="311">
        <v>170</v>
      </c>
      <c r="K194" s="311">
        <f t="shared" ref="K194:K257" si="7">+I194*J194</f>
        <v>5610</v>
      </c>
      <c r="L194" s="310">
        <v>44222</v>
      </c>
      <c r="M194" s="310">
        <v>44267</v>
      </c>
      <c r="N194" s="329"/>
    </row>
    <row r="195" spans="1:14" s="376" customFormat="1" ht="15" x14ac:dyDescent="0.25">
      <c r="A195" s="372" t="s">
        <v>2699</v>
      </c>
      <c r="B195" s="372" t="s">
        <v>504</v>
      </c>
      <c r="C195" s="372" t="s">
        <v>1836</v>
      </c>
      <c r="D195" s="125" t="s">
        <v>2792</v>
      </c>
      <c r="E195" s="125">
        <v>30</v>
      </c>
      <c r="F195" s="125" t="s">
        <v>1978</v>
      </c>
      <c r="G195" s="310">
        <v>44267</v>
      </c>
      <c r="H195" s="503">
        <f t="shared" si="6"/>
        <v>11</v>
      </c>
      <c r="I195" s="311">
        <v>30</v>
      </c>
      <c r="J195" s="311">
        <v>2220</v>
      </c>
      <c r="K195" s="311">
        <f t="shared" si="7"/>
        <v>66600</v>
      </c>
      <c r="L195" s="310">
        <v>44237</v>
      </c>
      <c r="M195" s="310">
        <v>44267</v>
      </c>
      <c r="N195" s="329"/>
    </row>
    <row r="196" spans="1:14" s="376" customFormat="1" x14ac:dyDescent="0.3">
      <c r="A196" s="372" t="s">
        <v>2788</v>
      </c>
      <c r="B196" s="372" t="s">
        <v>2202</v>
      </c>
      <c r="C196" s="372" t="s">
        <v>1842</v>
      </c>
      <c r="D196" s="125" t="s">
        <v>2816</v>
      </c>
      <c r="E196" s="125">
        <v>15</v>
      </c>
      <c r="F196" s="125" t="s">
        <v>1978</v>
      </c>
      <c r="G196" s="310">
        <v>44265</v>
      </c>
      <c r="H196" s="503">
        <f t="shared" si="6"/>
        <v>11</v>
      </c>
      <c r="I196" s="311">
        <v>600</v>
      </c>
      <c r="J196" s="311">
        <v>395</v>
      </c>
      <c r="K196" s="311">
        <f t="shared" si="7"/>
        <v>237000</v>
      </c>
      <c r="L196" s="310">
        <v>44250</v>
      </c>
      <c r="M196" s="310">
        <v>44267</v>
      </c>
      <c r="N196" s="329"/>
    </row>
    <row r="197" spans="1:14" s="376" customFormat="1" x14ac:dyDescent="0.3">
      <c r="A197" s="372" t="s">
        <v>2812</v>
      </c>
      <c r="B197" s="372" t="s">
        <v>2202</v>
      </c>
      <c r="C197" s="372" t="s">
        <v>1842</v>
      </c>
      <c r="D197" s="373" t="s">
        <v>2818</v>
      </c>
      <c r="E197" s="373">
        <v>15</v>
      </c>
      <c r="F197" s="373" t="s">
        <v>1978</v>
      </c>
      <c r="G197" s="374">
        <v>44265</v>
      </c>
      <c r="H197" s="503">
        <f t="shared" si="6"/>
        <v>11</v>
      </c>
      <c r="I197" s="375">
        <v>4.62</v>
      </c>
      <c r="J197" s="375">
        <v>395</v>
      </c>
      <c r="K197" s="375">
        <f t="shared" si="7"/>
        <v>1824.9</v>
      </c>
      <c r="L197" s="374">
        <v>44250</v>
      </c>
      <c r="M197" s="374">
        <v>44267</v>
      </c>
      <c r="N197" s="329"/>
    </row>
    <row r="198" spans="1:14" ht="15" x14ac:dyDescent="0.25">
      <c r="A198" s="342" t="s">
        <v>2748</v>
      </c>
      <c r="B198" s="342" t="s">
        <v>2668</v>
      </c>
      <c r="C198" s="342" t="s">
        <v>2760</v>
      </c>
      <c r="D198" s="373" t="s">
        <v>2823</v>
      </c>
      <c r="E198" s="373"/>
      <c r="F198" s="373"/>
      <c r="G198" s="374"/>
      <c r="H198" s="503">
        <f t="shared" si="6"/>
        <v>0</v>
      </c>
      <c r="I198" s="375">
        <v>10.26</v>
      </c>
      <c r="J198" s="375">
        <v>175.23</v>
      </c>
      <c r="K198" s="375">
        <f t="shared" si="7"/>
        <v>1797.8598</v>
      </c>
      <c r="L198" s="374">
        <v>44256</v>
      </c>
      <c r="M198" s="374">
        <v>44267</v>
      </c>
      <c r="N198" s="329"/>
    </row>
    <row r="199" spans="1:14" ht="15" x14ac:dyDescent="0.25">
      <c r="A199" s="124" t="s">
        <v>2757</v>
      </c>
      <c r="B199" s="124" t="s">
        <v>2702</v>
      </c>
      <c r="C199" s="124" t="s">
        <v>2704</v>
      </c>
      <c r="D199" s="125" t="s">
        <v>2776</v>
      </c>
      <c r="E199" s="125">
        <v>30</v>
      </c>
      <c r="F199" s="125" t="s">
        <v>1978</v>
      </c>
      <c r="G199" s="310">
        <v>44265</v>
      </c>
      <c r="H199" s="503">
        <f t="shared" si="6"/>
        <v>11</v>
      </c>
      <c r="I199" s="311">
        <v>60</v>
      </c>
      <c r="J199" s="311">
        <v>1100</v>
      </c>
      <c r="K199" s="311">
        <f t="shared" si="7"/>
        <v>66000</v>
      </c>
      <c r="L199" s="310">
        <v>44235</v>
      </c>
      <c r="M199" s="374">
        <v>44267</v>
      </c>
      <c r="N199" s="314"/>
    </row>
    <row r="200" spans="1:14" ht="15" x14ac:dyDescent="0.25">
      <c r="A200" s="124" t="s">
        <v>2783</v>
      </c>
      <c r="B200" s="124" t="s">
        <v>2702</v>
      </c>
      <c r="C200" s="124" t="s">
        <v>2704</v>
      </c>
      <c r="D200" s="125" t="s">
        <v>2790</v>
      </c>
      <c r="E200" s="125">
        <v>30</v>
      </c>
      <c r="F200" s="125" t="s">
        <v>1978</v>
      </c>
      <c r="G200" s="310">
        <v>44266</v>
      </c>
      <c r="H200" s="503">
        <f t="shared" si="6"/>
        <v>11</v>
      </c>
      <c r="I200" s="311">
        <v>30</v>
      </c>
      <c r="J200" s="311">
        <v>1100</v>
      </c>
      <c r="K200" s="311">
        <f t="shared" si="7"/>
        <v>33000</v>
      </c>
      <c r="L200" s="310">
        <v>44236</v>
      </c>
      <c r="M200" s="374">
        <v>44267</v>
      </c>
      <c r="N200" s="314"/>
    </row>
    <row r="201" spans="1:14" ht="15" x14ac:dyDescent="0.25">
      <c r="A201" s="124" t="s">
        <v>2784</v>
      </c>
      <c r="B201" s="124" t="s">
        <v>2702</v>
      </c>
      <c r="C201" s="124" t="s">
        <v>2704</v>
      </c>
      <c r="D201" s="125" t="s">
        <v>2791</v>
      </c>
      <c r="E201" s="125">
        <v>30</v>
      </c>
      <c r="F201" s="125" t="s">
        <v>1978</v>
      </c>
      <c r="G201" s="310">
        <v>44269</v>
      </c>
      <c r="H201" s="503">
        <f t="shared" si="6"/>
        <v>12</v>
      </c>
      <c r="I201" s="311">
        <v>30</v>
      </c>
      <c r="J201" s="311">
        <v>1100</v>
      </c>
      <c r="K201" s="311">
        <f t="shared" si="7"/>
        <v>33000</v>
      </c>
      <c r="L201" s="310">
        <v>44239</v>
      </c>
      <c r="M201" s="374">
        <v>44267</v>
      </c>
      <c r="N201" s="314"/>
    </row>
    <row r="202" spans="1:14" s="129" customFormat="1" ht="15" x14ac:dyDescent="0.25">
      <c r="A202" s="124" t="s">
        <v>2653</v>
      </c>
      <c r="B202" s="124" t="s">
        <v>530</v>
      </c>
      <c r="C202" s="124" t="s">
        <v>506</v>
      </c>
      <c r="D202" s="373" t="s">
        <v>2762</v>
      </c>
      <c r="E202" s="373">
        <v>45</v>
      </c>
      <c r="F202" s="373" t="s">
        <v>1978</v>
      </c>
      <c r="G202" s="374">
        <v>44274</v>
      </c>
      <c r="H202" s="503">
        <f t="shared" si="6"/>
        <v>12</v>
      </c>
      <c r="I202" s="375">
        <v>32.1</v>
      </c>
      <c r="J202" s="375">
        <v>170</v>
      </c>
      <c r="K202" s="375">
        <f t="shared" si="7"/>
        <v>5457</v>
      </c>
      <c r="L202" s="374">
        <v>44235</v>
      </c>
      <c r="M202" s="374">
        <v>44274</v>
      </c>
      <c r="N202" s="329"/>
    </row>
    <row r="203" spans="1:14" s="129" customFormat="1" x14ac:dyDescent="0.3">
      <c r="A203" s="124" t="s">
        <v>2789</v>
      </c>
      <c r="B203" s="124" t="s">
        <v>2202</v>
      </c>
      <c r="C203" s="124" t="s">
        <v>1842</v>
      </c>
      <c r="D203" s="373" t="s">
        <v>2817</v>
      </c>
      <c r="E203" s="373">
        <v>15</v>
      </c>
      <c r="F203" s="373" t="s">
        <v>1978</v>
      </c>
      <c r="G203" s="374">
        <v>44268</v>
      </c>
      <c r="H203" s="503">
        <f t="shared" si="6"/>
        <v>11</v>
      </c>
      <c r="I203" s="375">
        <v>500</v>
      </c>
      <c r="J203" s="375">
        <v>395</v>
      </c>
      <c r="K203" s="375">
        <f t="shared" si="7"/>
        <v>197500</v>
      </c>
      <c r="L203" s="374">
        <v>44256</v>
      </c>
      <c r="M203" s="374">
        <v>44274</v>
      </c>
      <c r="N203" s="329"/>
    </row>
    <row r="204" spans="1:14" s="129" customFormat="1" x14ac:dyDescent="0.3">
      <c r="A204" s="124" t="s">
        <v>2813</v>
      </c>
      <c r="B204" s="124" t="s">
        <v>2202</v>
      </c>
      <c r="C204" s="124" t="s">
        <v>1842</v>
      </c>
      <c r="D204" s="373" t="s">
        <v>2819</v>
      </c>
      <c r="E204" s="373">
        <v>15</v>
      </c>
      <c r="F204" s="373" t="s">
        <v>1978</v>
      </c>
      <c r="G204" s="374">
        <v>44268</v>
      </c>
      <c r="H204" s="503">
        <f t="shared" si="6"/>
        <v>11</v>
      </c>
      <c r="I204" s="375">
        <v>4.88</v>
      </c>
      <c r="J204" s="375">
        <v>395</v>
      </c>
      <c r="K204" s="375">
        <f t="shared" si="7"/>
        <v>1927.6</v>
      </c>
      <c r="L204" s="374">
        <v>44253</v>
      </c>
      <c r="M204" s="374">
        <v>44274</v>
      </c>
      <c r="N204" s="329"/>
    </row>
    <row r="205" spans="1:14" s="129" customFormat="1" x14ac:dyDescent="0.3">
      <c r="A205" s="124" t="s">
        <v>2833</v>
      </c>
      <c r="B205" s="124" t="s">
        <v>2202</v>
      </c>
      <c r="C205" s="124" t="s">
        <v>1842</v>
      </c>
      <c r="D205" s="373" t="s">
        <v>2858</v>
      </c>
      <c r="E205" s="373">
        <v>15</v>
      </c>
      <c r="F205" s="373" t="s">
        <v>1978</v>
      </c>
      <c r="G205" s="374">
        <v>44273</v>
      </c>
      <c r="H205" s="503">
        <f t="shared" si="6"/>
        <v>12</v>
      </c>
      <c r="I205" s="375">
        <v>0.83</v>
      </c>
      <c r="J205" s="375">
        <v>395</v>
      </c>
      <c r="K205" s="375">
        <f t="shared" si="7"/>
        <v>327.84999999999997</v>
      </c>
      <c r="L205" s="374">
        <v>44258</v>
      </c>
      <c r="M205" s="374">
        <v>44274</v>
      </c>
      <c r="N205" s="329"/>
    </row>
    <row r="206" spans="1:14" s="129" customFormat="1" x14ac:dyDescent="0.3">
      <c r="A206" s="124" t="s">
        <v>2840</v>
      </c>
      <c r="B206" s="124" t="s">
        <v>2850</v>
      </c>
      <c r="C206" s="124" t="s">
        <v>1511</v>
      </c>
      <c r="D206" s="373" t="s">
        <v>2863</v>
      </c>
      <c r="E206" s="373" t="s">
        <v>5</v>
      </c>
      <c r="F206" s="373" t="s">
        <v>1978</v>
      </c>
      <c r="G206" s="374">
        <v>44275</v>
      </c>
      <c r="H206" s="503">
        <f t="shared" si="6"/>
        <v>12</v>
      </c>
      <c r="I206" s="375">
        <v>3.35</v>
      </c>
      <c r="J206" s="375">
        <v>921.41399999999999</v>
      </c>
      <c r="K206" s="375">
        <f t="shared" si="7"/>
        <v>3086.7368999999999</v>
      </c>
      <c r="L206" s="374">
        <v>44271</v>
      </c>
      <c r="M206" s="374">
        <v>44281</v>
      </c>
      <c r="N206" s="329"/>
    </row>
    <row r="207" spans="1:14" s="129" customFormat="1" x14ac:dyDescent="0.3">
      <c r="A207" s="124" t="s">
        <v>2841</v>
      </c>
      <c r="B207" s="124" t="s">
        <v>2851</v>
      </c>
      <c r="C207" s="124" t="s">
        <v>1511</v>
      </c>
      <c r="D207" s="125" t="s">
        <v>2864</v>
      </c>
      <c r="E207" s="125" t="s">
        <v>5</v>
      </c>
      <c r="F207" s="125" t="s">
        <v>1978</v>
      </c>
      <c r="G207" s="310">
        <v>44274</v>
      </c>
      <c r="H207" s="503">
        <f t="shared" si="6"/>
        <v>12</v>
      </c>
      <c r="I207" s="311">
        <v>18</v>
      </c>
      <c r="J207" s="311">
        <v>1280.086</v>
      </c>
      <c r="K207" s="311">
        <f t="shared" si="7"/>
        <v>23041.547999999999</v>
      </c>
      <c r="L207" s="310">
        <v>44271</v>
      </c>
      <c r="M207" s="310">
        <v>44281</v>
      </c>
      <c r="N207" s="329"/>
    </row>
    <row r="208" spans="1:14" s="129" customFormat="1" x14ac:dyDescent="0.3">
      <c r="A208" s="124" t="s">
        <v>2842</v>
      </c>
      <c r="B208" s="124" t="s">
        <v>2852</v>
      </c>
      <c r="C208" s="124" t="s">
        <v>1511</v>
      </c>
      <c r="D208" s="125" t="s">
        <v>2865</v>
      </c>
      <c r="E208" s="125" t="s">
        <v>5</v>
      </c>
      <c r="F208" s="125" t="s">
        <v>1978</v>
      </c>
      <c r="G208" s="310">
        <v>44274</v>
      </c>
      <c r="H208" s="503">
        <f t="shared" si="6"/>
        <v>12</v>
      </c>
      <c r="I208" s="311">
        <v>50.25</v>
      </c>
      <c r="J208" s="311">
        <v>331.09500000000003</v>
      </c>
      <c r="K208" s="311">
        <f t="shared" si="7"/>
        <v>16637.52375</v>
      </c>
      <c r="L208" s="310">
        <v>44271</v>
      </c>
      <c r="M208" s="310">
        <v>44281</v>
      </c>
      <c r="N208" s="329"/>
    </row>
    <row r="209" spans="1:14" s="129" customFormat="1" x14ac:dyDescent="0.3">
      <c r="A209" s="124" t="s">
        <v>2843</v>
      </c>
      <c r="B209" s="124" t="s">
        <v>2853</v>
      </c>
      <c r="C209" s="124" t="s">
        <v>1511</v>
      </c>
      <c r="D209" s="125" t="s">
        <v>2866</v>
      </c>
      <c r="E209" s="125" t="s">
        <v>5</v>
      </c>
      <c r="F209" s="125" t="s">
        <v>1978</v>
      </c>
      <c r="G209" s="310">
        <v>44274</v>
      </c>
      <c r="H209" s="503">
        <f t="shared" si="6"/>
        <v>12</v>
      </c>
      <c r="I209" s="311">
        <v>62.4</v>
      </c>
      <c r="J209" s="311">
        <v>314.96800000000002</v>
      </c>
      <c r="K209" s="311">
        <f t="shared" si="7"/>
        <v>19654.003199999999</v>
      </c>
      <c r="L209" s="310">
        <v>44271</v>
      </c>
      <c r="M209" s="310">
        <v>44281</v>
      </c>
      <c r="N209" s="329"/>
    </row>
    <row r="210" spans="1:14" s="129" customFormat="1" x14ac:dyDescent="0.3">
      <c r="A210" s="124" t="s">
        <v>2845</v>
      </c>
      <c r="B210" s="124" t="s">
        <v>2855</v>
      </c>
      <c r="C210" s="124" t="s">
        <v>1511</v>
      </c>
      <c r="D210" s="125" t="s">
        <v>2867</v>
      </c>
      <c r="E210" s="125" t="s">
        <v>5</v>
      </c>
      <c r="F210" s="125" t="s">
        <v>1978</v>
      </c>
      <c r="G210" s="310">
        <v>44274</v>
      </c>
      <c r="H210" s="503">
        <f t="shared" si="6"/>
        <v>12</v>
      </c>
      <c r="I210" s="311">
        <v>1.0999999999999999E-2</v>
      </c>
      <c r="J210" s="311">
        <v>535.36400000000003</v>
      </c>
      <c r="K210" s="311">
        <f t="shared" si="7"/>
        <v>5.8890039999999999</v>
      </c>
      <c r="L210" s="310">
        <v>44271</v>
      </c>
      <c r="M210" s="310">
        <v>44281</v>
      </c>
      <c r="N210" s="329"/>
    </row>
    <row r="211" spans="1:14" s="129" customFormat="1" ht="15" x14ac:dyDescent="0.25">
      <c r="A211" s="124" t="s">
        <v>2744</v>
      </c>
      <c r="B211" s="124" t="s">
        <v>530</v>
      </c>
      <c r="C211" s="124" t="s">
        <v>506</v>
      </c>
      <c r="D211" s="125" t="s">
        <v>2763</v>
      </c>
      <c r="E211" s="125">
        <v>45</v>
      </c>
      <c r="F211" s="125" t="s">
        <v>1978</v>
      </c>
      <c r="G211" s="310">
        <v>44276</v>
      </c>
      <c r="H211" s="503">
        <f t="shared" si="6"/>
        <v>13</v>
      </c>
      <c r="I211" s="311">
        <v>33.575000000000003</v>
      </c>
      <c r="J211" s="311">
        <v>170</v>
      </c>
      <c r="K211" s="311">
        <f t="shared" si="7"/>
        <v>5707.7500000000009</v>
      </c>
      <c r="L211" s="310">
        <v>44235</v>
      </c>
      <c r="M211" s="310">
        <v>44281</v>
      </c>
      <c r="N211" s="329"/>
    </row>
    <row r="212" spans="1:14" s="376" customFormat="1" x14ac:dyDescent="0.3">
      <c r="A212" s="372" t="s">
        <v>2576</v>
      </c>
      <c r="B212" s="372" t="s">
        <v>1040</v>
      </c>
      <c r="C212" s="372" t="s">
        <v>550</v>
      </c>
      <c r="D212" s="373" t="s">
        <v>2627</v>
      </c>
      <c r="E212" s="373">
        <v>90</v>
      </c>
      <c r="F212" s="373" t="s">
        <v>1978</v>
      </c>
      <c r="G212" s="374">
        <v>44290</v>
      </c>
      <c r="H212" s="503">
        <f t="shared" si="6"/>
        <v>15</v>
      </c>
      <c r="I212" s="375">
        <v>60</v>
      </c>
      <c r="J212" s="375">
        <v>549</v>
      </c>
      <c r="K212" s="375">
        <f t="shared" si="7"/>
        <v>32940</v>
      </c>
      <c r="L212" s="374">
        <v>44214</v>
      </c>
      <c r="M212" s="374">
        <v>44296</v>
      </c>
      <c r="N212" s="329"/>
    </row>
    <row r="213" spans="1:14" s="376" customFormat="1" ht="15" x14ac:dyDescent="0.25">
      <c r="A213" s="372" t="s">
        <v>2814</v>
      </c>
      <c r="B213" s="372" t="s">
        <v>2030</v>
      </c>
      <c r="C213" s="372" t="s">
        <v>589</v>
      </c>
      <c r="D213" s="373" t="s">
        <v>2903</v>
      </c>
      <c r="E213" s="373">
        <v>30</v>
      </c>
      <c r="F213" s="373" t="s">
        <v>1978</v>
      </c>
      <c r="G213" s="374">
        <v>44295</v>
      </c>
      <c r="H213" s="503">
        <f t="shared" si="6"/>
        <v>15</v>
      </c>
      <c r="I213" s="375">
        <v>30</v>
      </c>
      <c r="J213" s="375">
        <v>650</v>
      </c>
      <c r="K213" s="375">
        <f t="shared" si="7"/>
        <v>19500</v>
      </c>
      <c r="L213" s="374">
        <v>44274</v>
      </c>
      <c r="M213" s="374">
        <v>44296</v>
      </c>
      <c r="N213" s="329"/>
    </row>
    <row r="214" spans="1:14" s="376" customFormat="1" ht="15" x14ac:dyDescent="0.25">
      <c r="A214" s="372" t="s">
        <v>2837</v>
      </c>
      <c r="B214" s="372" t="s">
        <v>504</v>
      </c>
      <c r="C214" s="372" t="s">
        <v>1836</v>
      </c>
      <c r="D214" s="373" t="s">
        <v>2861</v>
      </c>
      <c r="E214" s="373">
        <v>30</v>
      </c>
      <c r="F214" s="373" t="s">
        <v>1978</v>
      </c>
      <c r="G214" s="374">
        <v>44296</v>
      </c>
      <c r="H214" s="503">
        <f t="shared" si="6"/>
        <v>15</v>
      </c>
      <c r="I214" s="375">
        <v>24</v>
      </c>
      <c r="J214" s="375">
        <v>2450</v>
      </c>
      <c r="K214" s="375">
        <f t="shared" si="7"/>
        <v>58800</v>
      </c>
      <c r="L214" s="374">
        <v>44267</v>
      </c>
      <c r="M214" s="374">
        <v>44296</v>
      </c>
      <c r="N214" s="329"/>
    </row>
    <row r="215" spans="1:14" s="376" customFormat="1" ht="15" x14ac:dyDescent="0.25">
      <c r="A215" s="372" t="s">
        <v>2838</v>
      </c>
      <c r="B215" s="372" t="s">
        <v>504</v>
      </c>
      <c r="C215" s="372" t="s">
        <v>1836</v>
      </c>
      <c r="D215" s="373" t="s">
        <v>2861</v>
      </c>
      <c r="E215" s="373">
        <v>30</v>
      </c>
      <c r="F215" s="373" t="s">
        <v>1978</v>
      </c>
      <c r="G215" s="374">
        <v>44296</v>
      </c>
      <c r="H215" s="503">
        <f t="shared" si="6"/>
        <v>15</v>
      </c>
      <c r="I215" s="375">
        <v>6</v>
      </c>
      <c r="J215" s="375">
        <v>2450</v>
      </c>
      <c r="K215" s="375">
        <f t="shared" si="7"/>
        <v>14700</v>
      </c>
      <c r="L215" s="374">
        <v>44267</v>
      </c>
      <c r="M215" s="374">
        <v>44296</v>
      </c>
      <c r="N215" s="329"/>
    </row>
    <row r="216" spans="1:14" s="376" customFormat="1" x14ac:dyDescent="0.3">
      <c r="A216" s="372" t="s">
        <v>2844</v>
      </c>
      <c r="B216" s="372" t="s">
        <v>2854</v>
      </c>
      <c r="C216" s="372" t="s">
        <v>1511</v>
      </c>
      <c r="D216" s="373" t="s">
        <v>2901</v>
      </c>
      <c r="E216" s="373" t="s">
        <v>5</v>
      </c>
      <c r="F216" s="373" t="s">
        <v>1978</v>
      </c>
      <c r="G216" s="374">
        <v>44285</v>
      </c>
      <c r="H216" s="503">
        <f t="shared" si="6"/>
        <v>14</v>
      </c>
      <c r="I216" s="375">
        <v>4.8</v>
      </c>
      <c r="J216" s="375">
        <v>257.44099999999997</v>
      </c>
      <c r="K216" s="375">
        <f t="shared" si="7"/>
        <v>1235.7167999999999</v>
      </c>
      <c r="L216" s="374">
        <v>44281</v>
      </c>
      <c r="M216" s="374">
        <v>44296</v>
      </c>
      <c r="N216" s="329"/>
    </row>
    <row r="217" spans="1:14" s="376" customFormat="1" x14ac:dyDescent="0.3">
      <c r="A217" s="372" t="s">
        <v>2890</v>
      </c>
      <c r="B217" s="372" t="s">
        <v>2857</v>
      </c>
      <c r="C217" s="372" t="s">
        <v>1842</v>
      </c>
      <c r="D217" s="373" t="s">
        <v>2869</v>
      </c>
      <c r="E217" s="373">
        <v>15</v>
      </c>
      <c r="F217" s="373" t="s">
        <v>1978</v>
      </c>
      <c r="G217" s="374">
        <v>44287</v>
      </c>
      <c r="H217" s="503">
        <f t="shared" si="6"/>
        <v>14</v>
      </c>
      <c r="I217" s="375">
        <v>30</v>
      </c>
      <c r="J217" s="375">
        <v>535</v>
      </c>
      <c r="K217" s="375">
        <f t="shared" si="7"/>
        <v>16050</v>
      </c>
      <c r="L217" s="374">
        <v>44281</v>
      </c>
      <c r="M217" s="374">
        <v>44296</v>
      </c>
      <c r="N217" s="329"/>
    </row>
    <row r="218" spans="1:14" s="376" customFormat="1" x14ac:dyDescent="0.3">
      <c r="A218" s="372" t="s">
        <v>2891</v>
      </c>
      <c r="B218" s="372" t="s">
        <v>2857</v>
      </c>
      <c r="C218" s="372" t="s">
        <v>1842</v>
      </c>
      <c r="D218" s="373" t="s">
        <v>2869</v>
      </c>
      <c r="E218" s="373">
        <v>15</v>
      </c>
      <c r="F218" s="373" t="s">
        <v>1978</v>
      </c>
      <c r="G218" s="374">
        <v>44287</v>
      </c>
      <c r="H218" s="503">
        <f t="shared" si="6"/>
        <v>14</v>
      </c>
      <c r="I218" s="375">
        <v>30</v>
      </c>
      <c r="J218" s="375">
        <v>535</v>
      </c>
      <c r="K218" s="375">
        <f t="shared" si="7"/>
        <v>16050</v>
      </c>
      <c r="L218" s="374">
        <v>44281</v>
      </c>
      <c r="M218" s="374">
        <v>44296</v>
      </c>
      <c r="N218" s="329"/>
    </row>
    <row r="219" spans="1:14" s="129" customFormat="1" ht="15" x14ac:dyDescent="0.25">
      <c r="A219" s="124" t="s">
        <v>2848</v>
      </c>
      <c r="B219" s="124" t="s">
        <v>504</v>
      </c>
      <c r="C219" s="124" t="s">
        <v>1836</v>
      </c>
      <c r="D219" s="125" t="s">
        <v>2898</v>
      </c>
      <c r="E219" s="125">
        <v>30</v>
      </c>
      <c r="F219" s="125" t="s">
        <v>1978</v>
      </c>
      <c r="G219" s="310">
        <v>44307</v>
      </c>
      <c r="H219" s="503">
        <f t="shared" si="6"/>
        <v>17</v>
      </c>
      <c r="I219" s="311">
        <v>30</v>
      </c>
      <c r="J219" s="311">
        <v>2450</v>
      </c>
      <c r="K219" s="311">
        <f t="shared" si="7"/>
        <v>73500</v>
      </c>
      <c r="L219" s="310">
        <v>44278</v>
      </c>
      <c r="M219" s="374">
        <v>44302</v>
      </c>
      <c r="N219" s="329"/>
    </row>
    <row r="220" spans="1:14" ht="15" x14ac:dyDescent="0.25">
      <c r="A220" s="342" t="s">
        <v>2846</v>
      </c>
      <c r="B220" s="342" t="s">
        <v>2856</v>
      </c>
      <c r="C220" s="342" t="s">
        <v>506</v>
      </c>
      <c r="D220" s="313" t="s">
        <v>2868</v>
      </c>
      <c r="E220" s="313">
        <v>45</v>
      </c>
      <c r="F220" s="313" t="s">
        <v>1978</v>
      </c>
      <c r="G220" s="310">
        <v>44312</v>
      </c>
      <c r="H220" s="503">
        <f t="shared" si="6"/>
        <v>18</v>
      </c>
      <c r="I220" s="311">
        <v>34</v>
      </c>
      <c r="J220" s="311">
        <v>570</v>
      </c>
      <c r="K220" s="311">
        <f t="shared" si="7"/>
        <v>19380</v>
      </c>
      <c r="L220" s="310">
        <v>44268</v>
      </c>
      <c r="M220" s="374">
        <v>44308</v>
      </c>
      <c r="N220" s="329"/>
    </row>
    <row r="221" spans="1:14" s="129" customFormat="1" ht="15" x14ac:dyDescent="0.25">
      <c r="A221" s="124" t="s">
        <v>2847</v>
      </c>
      <c r="B221" s="124" t="s">
        <v>2856</v>
      </c>
      <c r="C221" s="124" t="s">
        <v>506</v>
      </c>
      <c r="D221" s="125" t="s">
        <v>2895</v>
      </c>
      <c r="E221" s="125">
        <v>45</v>
      </c>
      <c r="F221" s="125" t="s">
        <v>1978</v>
      </c>
      <c r="G221" s="310">
        <v>44322</v>
      </c>
      <c r="H221" s="503">
        <f t="shared" si="6"/>
        <v>19</v>
      </c>
      <c r="I221" s="311">
        <v>30.675000000000001</v>
      </c>
      <c r="J221" s="311">
        <v>570</v>
      </c>
      <c r="K221" s="311">
        <f t="shared" si="7"/>
        <v>17484.75</v>
      </c>
      <c r="L221" s="310">
        <v>44278</v>
      </c>
      <c r="M221" s="374">
        <v>44315</v>
      </c>
      <c r="N221" s="329"/>
    </row>
    <row r="222" spans="1:14" s="129" customFormat="1" x14ac:dyDescent="0.3">
      <c r="A222" s="124" t="s">
        <v>2785</v>
      </c>
      <c r="B222" s="124" t="s">
        <v>1040</v>
      </c>
      <c r="C222" s="124" t="s">
        <v>550</v>
      </c>
      <c r="D222" s="125" t="s">
        <v>2779</v>
      </c>
      <c r="E222" s="125">
        <v>90</v>
      </c>
      <c r="F222" s="125" t="s">
        <v>1978</v>
      </c>
      <c r="G222" s="310">
        <v>44320</v>
      </c>
      <c r="H222" s="503">
        <f t="shared" si="6"/>
        <v>19</v>
      </c>
      <c r="I222" s="311">
        <v>60</v>
      </c>
      <c r="J222" s="311">
        <v>549</v>
      </c>
      <c r="K222" s="311">
        <f t="shared" si="7"/>
        <v>32940</v>
      </c>
      <c r="L222" s="310">
        <v>44235</v>
      </c>
      <c r="M222" s="374">
        <v>44315</v>
      </c>
      <c r="N222" s="329"/>
    </row>
    <row r="223" spans="1:14" ht="15" x14ac:dyDescent="0.25">
      <c r="A223" s="342" t="s">
        <v>2932</v>
      </c>
      <c r="B223" s="342" t="s">
        <v>2668</v>
      </c>
      <c r="C223" s="342" t="s">
        <v>1842</v>
      </c>
      <c r="D223" s="313" t="s">
        <v>2956</v>
      </c>
      <c r="E223" s="313">
        <v>15</v>
      </c>
      <c r="F223" s="373" t="s">
        <v>1978</v>
      </c>
      <c r="G223" s="310">
        <v>44317</v>
      </c>
      <c r="H223" s="503">
        <f t="shared" si="6"/>
        <v>18</v>
      </c>
      <c r="I223" s="311">
        <v>194.88</v>
      </c>
      <c r="J223" s="311">
        <v>230</v>
      </c>
      <c r="K223" s="375">
        <f t="shared" si="7"/>
        <v>44822.400000000001</v>
      </c>
      <c r="L223" s="310">
        <v>44307</v>
      </c>
      <c r="M223" s="374">
        <v>44315</v>
      </c>
      <c r="N223" s="314"/>
    </row>
    <row r="224" spans="1:14" ht="15" x14ac:dyDescent="0.25">
      <c r="A224" s="342" t="s">
        <v>2933</v>
      </c>
      <c r="B224" s="342" t="s">
        <v>2668</v>
      </c>
      <c r="C224" s="342" t="s">
        <v>1842</v>
      </c>
      <c r="D224" s="313" t="s">
        <v>2956</v>
      </c>
      <c r="E224" s="313">
        <v>15</v>
      </c>
      <c r="F224" s="373" t="s">
        <v>1978</v>
      </c>
      <c r="G224" s="310">
        <v>44317</v>
      </c>
      <c r="H224" s="503">
        <f t="shared" si="6"/>
        <v>18</v>
      </c>
      <c r="I224" s="311">
        <v>98.04</v>
      </c>
      <c r="J224" s="311">
        <v>230</v>
      </c>
      <c r="K224" s="375">
        <f t="shared" si="7"/>
        <v>22549.200000000001</v>
      </c>
      <c r="L224" s="310">
        <v>44307</v>
      </c>
      <c r="M224" s="374">
        <v>44315</v>
      </c>
      <c r="N224" s="314"/>
    </row>
    <row r="225" spans="1:14" ht="15" x14ac:dyDescent="0.25">
      <c r="A225" s="342" t="s">
        <v>2888</v>
      </c>
      <c r="B225" s="342" t="s">
        <v>2856</v>
      </c>
      <c r="C225" s="342" t="s">
        <v>506</v>
      </c>
      <c r="D225" s="313" t="s">
        <v>2896</v>
      </c>
      <c r="E225" s="313">
        <v>45</v>
      </c>
      <c r="F225" s="313" t="s">
        <v>1978</v>
      </c>
      <c r="G225" s="310">
        <v>44326</v>
      </c>
      <c r="H225" s="503">
        <f t="shared" si="6"/>
        <v>20</v>
      </c>
      <c r="I225" s="311">
        <v>8.6</v>
      </c>
      <c r="J225" s="311">
        <v>570</v>
      </c>
      <c r="K225" s="311">
        <f t="shared" si="7"/>
        <v>4902</v>
      </c>
      <c r="L225" s="310">
        <v>44284</v>
      </c>
      <c r="M225" s="374">
        <v>44323</v>
      </c>
      <c r="N225" s="314"/>
    </row>
    <row r="226" spans="1:14" ht="15" x14ac:dyDescent="0.25">
      <c r="A226" s="342" t="s">
        <v>2889</v>
      </c>
      <c r="B226" s="342" t="s">
        <v>2856</v>
      </c>
      <c r="C226" s="342" t="s">
        <v>506</v>
      </c>
      <c r="D226" s="313" t="s">
        <v>2897</v>
      </c>
      <c r="E226" s="313">
        <v>45</v>
      </c>
      <c r="F226" s="313" t="s">
        <v>1978</v>
      </c>
      <c r="G226" s="310">
        <v>44326</v>
      </c>
      <c r="H226" s="503">
        <f t="shared" si="6"/>
        <v>20</v>
      </c>
      <c r="I226" s="311">
        <v>24.725000000000001</v>
      </c>
      <c r="J226" s="311">
        <v>570</v>
      </c>
      <c r="K226" s="311">
        <f t="shared" si="7"/>
        <v>14093.25</v>
      </c>
      <c r="L226" s="310">
        <v>44284</v>
      </c>
      <c r="M226" s="374">
        <v>44323</v>
      </c>
      <c r="N226" s="314"/>
    </row>
    <row r="227" spans="1:14" x14ac:dyDescent="0.3">
      <c r="A227" s="342" t="s">
        <v>2934</v>
      </c>
      <c r="B227" s="342" t="s">
        <v>2954</v>
      </c>
      <c r="C227" s="342" t="s">
        <v>1842</v>
      </c>
      <c r="D227" s="313" t="s">
        <v>2957</v>
      </c>
      <c r="E227" s="313">
        <v>15</v>
      </c>
      <c r="F227" s="373" t="s">
        <v>1978</v>
      </c>
      <c r="G227" s="310">
        <v>44321</v>
      </c>
      <c r="H227" s="503">
        <f t="shared" si="6"/>
        <v>19</v>
      </c>
      <c r="I227" s="311">
        <v>800</v>
      </c>
      <c r="J227" s="311">
        <v>230</v>
      </c>
      <c r="K227" s="375">
        <f t="shared" si="7"/>
        <v>184000</v>
      </c>
      <c r="L227" s="310">
        <v>44312</v>
      </c>
      <c r="M227" s="374">
        <v>44323</v>
      </c>
      <c r="N227" s="314"/>
    </row>
    <row r="228" spans="1:14" x14ac:dyDescent="0.3">
      <c r="A228" s="342" t="s">
        <v>2950</v>
      </c>
      <c r="B228" s="342" t="s">
        <v>2954</v>
      </c>
      <c r="C228" s="342" t="s">
        <v>1842</v>
      </c>
      <c r="D228" s="313" t="s">
        <v>2958</v>
      </c>
      <c r="E228" s="313">
        <v>15</v>
      </c>
      <c r="F228" s="373" t="s">
        <v>1978</v>
      </c>
      <c r="G228" s="310">
        <v>44327</v>
      </c>
      <c r="H228" s="503">
        <f t="shared" si="6"/>
        <v>20</v>
      </c>
      <c r="I228" s="311">
        <v>9.2200000000000006</v>
      </c>
      <c r="J228" s="311">
        <v>230</v>
      </c>
      <c r="K228" s="375">
        <f t="shared" si="7"/>
        <v>2120.6000000000004</v>
      </c>
      <c r="L228" s="310">
        <v>44312</v>
      </c>
      <c r="M228" s="374">
        <v>44323</v>
      </c>
      <c r="N228" s="314"/>
    </row>
    <row r="229" spans="1:14" ht="15" x14ac:dyDescent="0.25">
      <c r="A229" s="342" t="s">
        <v>2926</v>
      </c>
      <c r="B229" s="342" t="s">
        <v>504</v>
      </c>
      <c r="C229" s="342" t="s">
        <v>1836</v>
      </c>
      <c r="D229" s="313" t="s">
        <v>2939</v>
      </c>
      <c r="E229" s="313">
        <v>30</v>
      </c>
      <c r="F229" s="373" t="s">
        <v>1978</v>
      </c>
      <c r="G229" s="310">
        <v>44325</v>
      </c>
      <c r="H229" s="503">
        <f t="shared" si="6"/>
        <v>20</v>
      </c>
      <c r="I229" s="311">
        <v>30</v>
      </c>
      <c r="J229" s="311">
        <v>2450</v>
      </c>
      <c r="K229" s="375">
        <f t="shared" si="7"/>
        <v>73500</v>
      </c>
      <c r="L229" s="310">
        <v>44298</v>
      </c>
      <c r="M229" s="374">
        <v>44323</v>
      </c>
      <c r="N229" s="314"/>
    </row>
    <row r="230" spans="1:14" s="129" customFormat="1" ht="15" x14ac:dyDescent="0.25">
      <c r="A230" s="124" t="s">
        <v>2815</v>
      </c>
      <c r="B230" s="124" t="s">
        <v>2030</v>
      </c>
      <c r="C230" s="124" t="s">
        <v>589</v>
      </c>
      <c r="D230" s="125" t="s">
        <v>2904</v>
      </c>
      <c r="E230" s="125">
        <v>30</v>
      </c>
      <c r="F230" s="125" t="s">
        <v>1978</v>
      </c>
      <c r="G230" s="310">
        <v>44291</v>
      </c>
      <c r="H230" s="503">
        <f t="shared" si="6"/>
        <v>15</v>
      </c>
      <c r="I230" s="311">
        <v>30</v>
      </c>
      <c r="J230" s="311">
        <v>650</v>
      </c>
      <c r="K230" s="311">
        <f t="shared" si="7"/>
        <v>19500</v>
      </c>
      <c r="L230" s="310">
        <v>44274</v>
      </c>
      <c r="M230" s="374">
        <v>44281</v>
      </c>
      <c r="N230" s="329"/>
    </row>
    <row r="231" spans="1:14" s="129" customFormat="1" ht="15" x14ac:dyDescent="0.25">
      <c r="A231" s="124" t="s">
        <v>2834</v>
      </c>
      <c r="B231" s="124" t="s">
        <v>2030</v>
      </c>
      <c r="C231" s="124" t="s">
        <v>589</v>
      </c>
      <c r="D231" s="125" t="s">
        <v>2905</v>
      </c>
      <c r="E231" s="125">
        <v>30</v>
      </c>
      <c r="F231" s="125" t="s">
        <v>1978</v>
      </c>
      <c r="G231" s="310">
        <v>44310</v>
      </c>
      <c r="H231" s="503">
        <f t="shared" si="6"/>
        <v>17</v>
      </c>
      <c r="I231" s="311">
        <v>30</v>
      </c>
      <c r="J231" s="311">
        <v>650</v>
      </c>
      <c r="K231" s="311">
        <f t="shared" si="7"/>
        <v>19500</v>
      </c>
      <c r="L231" s="310">
        <v>44281</v>
      </c>
      <c r="M231" s="374">
        <v>44281</v>
      </c>
      <c r="N231" s="329"/>
    </row>
    <row r="232" spans="1:14" ht="15" x14ac:dyDescent="0.25">
      <c r="A232" s="342" t="s">
        <v>2892</v>
      </c>
      <c r="B232" s="342" t="s">
        <v>2894</v>
      </c>
      <c r="C232" s="342" t="s">
        <v>589</v>
      </c>
      <c r="D232" s="313" t="s">
        <v>2899</v>
      </c>
      <c r="E232" s="313">
        <v>30</v>
      </c>
      <c r="F232" s="313" t="s">
        <v>1978</v>
      </c>
      <c r="G232" s="310">
        <v>44310</v>
      </c>
      <c r="H232" s="503">
        <f t="shared" si="6"/>
        <v>17</v>
      </c>
      <c r="I232" s="311">
        <v>1.5</v>
      </c>
      <c r="J232" s="311">
        <v>40000</v>
      </c>
      <c r="K232" s="311">
        <f t="shared" si="7"/>
        <v>60000</v>
      </c>
      <c r="L232" s="310">
        <v>44280</v>
      </c>
      <c r="M232" s="374">
        <v>44307</v>
      </c>
      <c r="N232" s="314"/>
    </row>
    <row r="233" spans="1:14" ht="15" x14ac:dyDescent="0.25">
      <c r="A233" s="342" t="s">
        <v>2893</v>
      </c>
      <c r="B233" s="342" t="s">
        <v>2702</v>
      </c>
      <c r="C233" s="342" t="s">
        <v>2704</v>
      </c>
      <c r="D233" s="313" t="s">
        <v>2966</v>
      </c>
      <c r="E233" s="313">
        <v>30</v>
      </c>
      <c r="F233" s="373" t="s">
        <v>1978</v>
      </c>
      <c r="G233" s="310">
        <v>44335</v>
      </c>
      <c r="H233" s="503">
        <f t="shared" si="6"/>
        <v>21</v>
      </c>
      <c r="I233" s="311">
        <v>32</v>
      </c>
      <c r="J233" s="311">
        <v>1180</v>
      </c>
      <c r="K233" s="375">
        <f t="shared" si="7"/>
        <v>37760</v>
      </c>
      <c r="L233" s="310">
        <v>44306</v>
      </c>
      <c r="M233" s="374">
        <v>44315</v>
      </c>
      <c r="N233" s="314"/>
    </row>
    <row r="234" spans="1:14" ht="15" x14ac:dyDescent="0.25">
      <c r="A234" s="342" t="s">
        <v>2928</v>
      </c>
      <c r="B234" s="342" t="s">
        <v>2030</v>
      </c>
      <c r="C234" s="342" t="s">
        <v>589</v>
      </c>
      <c r="D234" s="313" t="s">
        <v>2946</v>
      </c>
      <c r="E234" s="313">
        <v>30</v>
      </c>
      <c r="F234" s="373" t="s">
        <v>1978</v>
      </c>
      <c r="G234" s="310">
        <v>44331</v>
      </c>
      <c r="H234" s="503">
        <f t="shared" si="6"/>
        <v>20</v>
      </c>
      <c r="I234" s="311">
        <v>30</v>
      </c>
      <c r="J234" s="311">
        <v>650</v>
      </c>
      <c r="K234" s="375">
        <f t="shared" si="7"/>
        <v>19500</v>
      </c>
      <c r="L234" s="310">
        <v>44301</v>
      </c>
      <c r="M234" s="374">
        <v>44328</v>
      </c>
      <c r="N234" s="314"/>
    </row>
    <row r="235" spans="1:14" ht="15" x14ac:dyDescent="0.25">
      <c r="A235" s="342" t="s">
        <v>2929</v>
      </c>
      <c r="B235" s="342" t="s">
        <v>2030</v>
      </c>
      <c r="C235" s="342" t="s">
        <v>589</v>
      </c>
      <c r="D235" s="313" t="s">
        <v>2968</v>
      </c>
      <c r="E235" s="313">
        <v>30</v>
      </c>
      <c r="F235" s="373" t="s">
        <v>1978</v>
      </c>
      <c r="G235" s="310">
        <v>44338</v>
      </c>
      <c r="H235" s="503">
        <f t="shared" si="6"/>
        <v>21</v>
      </c>
      <c r="I235" s="311">
        <v>30</v>
      </c>
      <c r="J235" s="311">
        <v>650</v>
      </c>
      <c r="K235" s="375">
        <f t="shared" si="7"/>
        <v>19500</v>
      </c>
      <c r="L235" s="310">
        <v>44309</v>
      </c>
      <c r="M235" s="374">
        <v>44328</v>
      </c>
      <c r="N235" s="314"/>
    </row>
    <row r="236" spans="1:14" x14ac:dyDescent="0.3">
      <c r="A236" s="342" t="s">
        <v>2930</v>
      </c>
      <c r="B236" s="342" t="s">
        <v>2202</v>
      </c>
      <c r="C236" s="342" t="s">
        <v>2938</v>
      </c>
      <c r="D236" s="313" t="s">
        <v>2944</v>
      </c>
      <c r="E236" s="313">
        <v>30</v>
      </c>
      <c r="F236" s="373" t="s">
        <v>1978</v>
      </c>
      <c r="G236" s="310">
        <v>44324</v>
      </c>
      <c r="H236" s="503">
        <f t="shared" si="6"/>
        <v>19</v>
      </c>
      <c r="I236" s="311">
        <v>499.75</v>
      </c>
      <c r="J236" s="311">
        <v>390</v>
      </c>
      <c r="K236" s="375">
        <f t="shared" si="7"/>
        <v>194902.5</v>
      </c>
      <c r="L236" s="310">
        <v>44300</v>
      </c>
      <c r="M236" s="374">
        <v>44326</v>
      </c>
      <c r="N236" s="314"/>
    </row>
    <row r="237" spans="1:14" x14ac:dyDescent="0.3">
      <c r="A237" s="342" t="s">
        <v>2931</v>
      </c>
      <c r="B237" s="342" t="s">
        <v>2202</v>
      </c>
      <c r="C237" s="342" t="s">
        <v>2938</v>
      </c>
      <c r="D237" s="313" t="s">
        <v>2945</v>
      </c>
      <c r="E237" s="313">
        <v>30</v>
      </c>
      <c r="F237" s="373" t="s">
        <v>1978</v>
      </c>
      <c r="G237" s="310">
        <v>44324</v>
      </c>
      <c r="H237" s="503">
        <f t="shared" si="6"/>
        <v>19</v>
      </c>
      <c r="I237" s="311">
        <v>399.61</v>
      </c>
      <c r="J237" s="311">
        <v>390</v>
      </c>
      <c r="K237" s="375">
        <f t="shared" si="7"/>
        <v>155847.9</v>
      </c>
      <c r="L237" s="310">
        <v>44300</v>
      </c>
      <c r="M237" s="374">
        <v>44328</v>
      </c>
      <c r="N237" s="314"/>
    </row>
    <row r="238" spans="1:14" x14ac:dyDescent="0.3">
      <c r="A238" s="342" t="s">
        <v>2941</v>
      </c>
      <c r="B238" s="342" t="s">
        <v>2943</v>
      </c>
      <c r="C238" s="342" t="s">
        <v>2431</v>
      </c>
      <c r="D238" s="313" t="s">
        <v>2961</v>
      </c>
      <c r="E238" s="313">
        <v>30</v>
      </c>
      <c r="F238" s="373" t="s">
        <v>1978</v>
      </c>
      <c r="G238" s="310">
        <v>44335</v>
      </c>
      <c r="H238" s="503">
        <f t="shared" si="6"/>
        <v>21</v>
      </c>
      <c r="I238" s="311">
        <v>150</v>
      </c>
      <c r="J238" s="311">
        <v>350</v>
      </c>
      <c r="K238" s="375">
        <f t="shared" si="7"/>
        <v>52500</v>
      </c>
      <c r="L238" s="310">
        <v>44306</v>
      </c>
      <c r="M238" s="374">
        <v>44328</v>
      </c>
      <c r="N238" s="314"/>
    </row>
    <row r="239" spans="1:14" ht="15" x14ac:dyDescent="0.25">
      <c r="A239" s="342" t="s">
        <v>2927</v>
      </c>
      <c r="B239" s="342" t="s">
        <v>504</v>
      </c>
      <c r="C239" s="342" t="s">
        <v>1836</v>
      </c>
      <c r="D239" s="313" t="s">
        <v>2967</v>
      </c>
      <c r="E239" s="313">
        <v>30</v>
      </c>
      <c r="F239" s="373" t="s">
        <v>1978</v>
      </c>
      <c r="G239" s="310">
        <v>44336</v>
      </c>
      <c r="H239" s="503">
        <f t="shared" si="6"/>
        <v>21</v>
      </c>
      <c r="I239" s="311">
        <v>30</v>
      </c>
      <c r="J239" s="311">
        <v>2450</v>
      </c>
      <c r="K239" s="375">
        <f t="shared" si="7"/>
        <v>73500</v>
      </c>
      <c r="L239" s="310">
        <v>44306</v>
      </c>
      <c r="M239" s="374">
        <v>44328</v>
      </c>
      <c r="N239" s="314"/>
    </row>
    <row r="240" spans="1:14" x14ac:dyDescent="0.3">
      <c r="A240" s="342" t="s">
        <v>2935</v>
      </c>
      <c r="B240" s="342" t="s">
        <v>2954</v>
      </c>
      <c r="C240" s="342" t="s">
        <v>1842</v>
      </c>
      <c r="D240" s="313" t="s">
        <v>2964</v>
      </c>
      <c r="E240" s="313">
        <v>15</v>
      </c>
      <c r="F240" s="373" t="s">
        <v>1978</v>
      </c>
      <c r="G240" s="310">
        <v>44327</v>
      </c>
      <c r="H240" s="503">
        <f t="shared" si="6"/>
        <v>20</v>
      </c>
      <c r="I240" s="311">
        <v>210</v>
      </c>
      <c r="J240" s="311">
        <v>230</v>
      </c>
      <c r="K240" s="375">
        <f t="shared" si="7"/>
        <v>48300</v>
      </c>
      <c r="L240" s="310">
        <v>44322</v>
      </c>
      <c r="M240" s="374">
        <v>44328</v>
      </c>
      <c r="N240" s="314"/>
    </row>
    <row r="241" spans="1:14" s="129" customFormat="1" x14ac:dyDescent="0.3">
      <c r="A241" s="124" t="s">
        <v>2952</v>
      </c>
      <c r="B241" s="124" t="s">
        <v>2202</v>
      </c>
      <c r="C241" s="124" t="s">
        <v>2431</v>
      </c>
      <c r="D241" s="125" t="s">
        <v>2965</v>
      </c>
      <c r="E241" s="125">
        <v>30</v>
      </c>
      <c r="F241" s="125" t="s">
        <v>1978</v>
      </c>
      <c r="G241" s="310">
        <v>44342</v>
      </c>
      <c r="H241" s="503">
        <f t="shared" si="6"/>
        <v>22</v>
      </c>
      <c r="I241" s="311">
        <v>301.26</v>
      </c>
      <c r="J241" s="311">
        <v>404</v>
      </c>
      <c r="K241" s="311">
        <f t="shared" si="7"/>
        <v>121709.04</v>
      </c>
      <c r="L241" s="310">
        <v>44312</v>
      </c>
      <c r="M241" s="374">
        <v>44342</v>
      </c>
      <c r="N241" s="329"/>
    </row>
    <row r="242" spans="1:14" x14ac:dyDescent="0.3">
      <c r="A242" s="124" t="s">
        <v>2665</v>
      </c>
      <c r="B242" s="124" t="s">
        <v>2667</v>
      </c>
      <c r="C242" s="124" t="s">
        <v>2554</v>
      </c>
      <c r="D242" s="125" t="s">
        <v>2906</v>
      </c>
      <c r="E242" s="125">
        <v>60</v>
      </c>
      <c r="F242" s="125" t="s">
        <v>509</v>
      </c>
      <c r="G242" s="310">
        <v>44351</v>
      </c>
      <c r="H242" s="503">
        <f t="shared" si="6"/>
        <v>23</v>
      </c>
      <c r="I242" s="311">
        <v>3.15</v>
      </c>
      <c r="J242" s="311">
        <v>2780</v>
      </c>
      <c r="K242" s="311">
        <f t="shared" si="7"/>
        <v>8757</v>
      </c>
      <c r="L242" s="310">
        <v>44291</v>
      </c>
      <c r="M242" s="374">
        <v>44349</v>
      </c>
      <c r="N242" s="329"/>
    </row>
    <row r="243" spans="1:14" ht="15" x14ac:dyDescent="0.25">
      <c r="A243" s="342" t="s">
        <v>2942</v>
      </c>
      <c r="B243" s="342" t="s">
        <v>2034</v>
      </c>
      <c r="C243" s="342" t="s">
        <v>506</v>
      </c>
      <c r="D243" s="313" t="s">
        <v>2962</v>
      </c>
      <c r="E243" s="313">
        <v>45</v>
      </c>
      <c r="F243" s="373" t="s">
        <v>1978</v>
      </c>
      <c r="G243" s="310">
        <v>44351</v>
      </c>
      <c r="H243" s="503">
        <f t="shared" si="6"/>
        <v>23</v>
      </c>
      <c r="I243" s="311">
        <v>30</v>
      </c>
      <c r="J243" s="311">
        <v>320</v>
      </c>
      <c r="K243" s="375">
        <f t="shared" si="7"/>
        <v>9600</v>
      </c>
      <c r="L243" s="310">
        <v>44306</v>
      </c>
      <c r="M243" s="374">
        <v>44349</v>
      </c>
      <c r="N243" s="329"/>
    </row>
    <row r="244" spans="1:14" x14ac:dyDescent="0.3">
      <c r="A244" s="342" t="s">
        <v>2835</v>
      </c>
      <c r="B244" s="342" t="s">
        <v>1040</v>
      </c>
      <c r="C244" s="342" t="s">
        <v>550</v>
      </c>
      <c r="D244" s="125" t="s">
        <v>2859</v>
      </c>
      <c r="E244" s="313">
        <v>90</v>
      </c>
      <c r="F244" s="313" t="s">
        <v>1978</v>
      </c>
      <c r="G244" s="310">
        <v>44350</v>
      </c>
      <c r="H244" s="503">
        <f t="shared" si="6"/>
        <v>23</v>
      </c>
      <c r="I244" s="311">
        <v>30</v>
      </c>
      <c r="J244" s="311">
        <v>549</v>
      </c>
      <c r="K244" s="311">
        <f t="shared" si="7"/>
        <v>16470</v>
      </c>
      <c r="L244" s="310">
        <v>44267</v>
      </c>
      <c r="M244" s="374">
        <v>44349</v>
      </c>
      <c r="N244" s="329"/>
    </row>
    <row r="245" spans="1:14" x14ac:dyDescent="0.3">
      <c r="A245" s="342" t="s">
        <v>2836</v>
      </c>
      <c r="B245" s="342" t="s">
        <v>1040</v>
      </c>
      <c r="C245" s="342" t="s">
        <v>550</v>
      </c>
      <c r="D245" s="313" t="s">
        <v>2860</v>
      </c>
      <c r="E245" s="313">
        <v>90</v>
      </c>
      <c r="F245" s="313" t="s">
        <v>1978</v>
      </c>
      <c r="G245" s="310">
        <v>44350</v>
      </c>
      <c r="H245" s="503">
        <f t="shared" si="6"/>
        <v>23</v>
      </c>
      <c r="I245" s="311">
        <v>30</v>
      </c>
      <c r="J245" s="311">
        <v>549</v>
      </c>
      <c r="K245" s="311">
        <f t="shared" si="7"/>
        <v>16470</v>
      </c>
      <c r="L245" s="310">
        <v>44267</v>
      </c>
      <c r="M245" s="374">
        <v>44349</v>
      </c>
      <c r="N245" s="329"/>
    </row>
    <row r="246" spans="1:14" ht="15" x14ac:dyDescent="0.25">
      <c r="A246" s="342" t="s">
        <v>2839</v>
      </c>
      <c r="B246" s="342" t="s">
        <v>2849</v>
      </c>
      <c r="C246" s="342" t="s">
        <v>550</v>
      </c>
      <c r="D246" s="313" t="s">
        <v>2862</v>
      </c>
      <c r="E246" s="313">
        <v>90</v>
      </c>
      <c r="F246" s="313" t="s">
        <v>1978</v>
      </c>
      <c r="G246" s="310">
        <v>44355</v>
      </c>
      <c r="H246" s="503">
        <f t="shared" si="6"/>
        <v>24</v>
      </c>
      <c r="I246" s="311">
        <v>30</v>
      </c>
      <c r="J246" s="311">
        <v>549</v>
      </c>
      <c r="K246" s="311">
        <f t="shared" si="7"/>
        <v>16470</v>
      </c>
      <c r="L246" s="310">
        <v>44281</v>
      </c>
      <c r="M246" s="374">
        <v>44356</v>
      </c>
      <c r="N246" s="314"/>
    </row>
    <row r="247" spans="1:14" x14ac:dyDescent="0.3">
      <c r="A247" s="124" t="s">
        <v>3082</v>
      </c>
      <c r="B247" s="342" t="s">
        <v>3093</v>
      </c>
      <c r="C247" s="342" t="s">
        <v>2431</v>
      </c>
      <c r="D247" s="125" t="s">
        <v>3094</v>
      </c>
      <c r="E247" s="313">
        <v>30</v>
      </c>
      <c r="F247" s="313" t="s">
        <v>1978</v>
      </c>
      <c r="G247" s="310">
        <v>44364</v>
      </c>
      <c r="H247" s="503">
        <f t="shared" si="6"/>
        <v>25</v>
      </c>
      <c r="I247" s="311">
        <v>160</v>
      </c>
      <c r="J247" s="311">
        <v>191</v>
      </c>
      <c r="K247" s="375">
        <f t="shared" si="7"/>
        <v>30560</v>
      </c>
      <c r="L247" s="310">
        <v>44334</v>
      </c>
      <c r="M247" s="374">
        <v>44363</v>
      </c>
      <c r="N247" s="314"/>
    </row>
    <row r="248" spans="1:14" x14ac:dyDescent="0.3">
      <c r="A248" s="124" t="s">
        <v>3083</v>
      </c>
      <c r="B248" s="342" t="s">
        <v>3093</v>
      </c>
      <c r="C248" s="342" t="s">
        <v>2431</v>
      </c>
      <c r="D248" s="125" t="s">
        <v>3095</v>
      </c>
      <c r="E248" s="313">
        <v>30</v>
      </c>
      <c r="F248" s="313" t="s">
        <v>1978</v>
      </c>
      <c r="G248" s="310">
        <v>44365</v>
      </c>
      <c r="H248" s="503">
        <f t="shared" si="6"/>
        <v>25</v>
      </c>
      <c r="I248" s="311">
        <v>90</v>
      </c>
      <c r="J248" s="311">
        <v>191</v>
      </c>
      <c r="K248" s="375">
        <f t="shared" si="7"/>
        <v>17190</v>
      </c>
      <c r="L248" s="310">
        <v>44335</v>
      </c>
      <c r="M248" s="374">
        <v>44363</v>
      </c>
      <c r="N248" s="314"/>
    </row>
    <row r="249" spans="1:14" x14ac:dyDescent="0.3">
      <c r="A249" s="124" t="s">
        <v>3084</v>
      </c>
      <c r="B249" s="342" t="s">
        <v>3093</v>
      </c>
      <c r="C249" s="342" t="s">
        <v>2431</v>
      </c>
      <c r="D249" s="125" t="s">
        <v>3096</v>
      </c>
      <c r="E249" s="313">
        <v>30</v>
      </c>
      <c r="F249" s="313" t="s">
        <v>1978</v>
      </c>
      <c r="G249" s="310">
        <v>44364</v>
      </c>
      <c r="H249" s="503">
        <f t="shared" si="6"/>
        <v>25</v>
      </c>
      <c r="I249" s="311">
        <v>30</v>
      </c>
      <c r="J249" s="311">
        <v>191</v>
      </c>
      <c r="K249" s="375">
        <f t="shared" si="7"/>
        <v>5730</v>
      </c>
      <c r="L249" s="310">
        <v>44334</v>
      </c>
      <c r="M249" s="374">
        <v>44363</v>
      </c>
      <c r="N249" s="314"/>
    </row>
    <row r="250" spans="1:14" x14ac:dyDescent="0.3">
      <c r="A250" s="124" t="s">
        <v>3085</v>
      </c>
      <c r="B250" s="342" t="s">
        <v>3093</v>
      </c>
      <c r="C250" s="342" t="s">
        <v>2431</v>
      </c>
      <c r="D250" s="125" t="s">
        <v>3097</v>
      </c>
      <c r="E250" s="313">
        <v>30</v>
      </c>
      <c r="F250" s="313" t="s">
        <v>1978</v>
      </c>
      <c r="G250" s="310">
        <v>44365</v>
      </c>
      <c r="H250" s="503">
        <f t="shared" si="6"/>
        <v>25</v>
      </c>
      <c r="I250" s="311">
        <v>180</v>
      </c>
      <c r="J250" s="311">
        <v>191</v>
      </c>
      <c r="K250" s="375">
        <f t="shared" si="7"/>
        <v>34380</v>
      </c>
      <c r="L250" s="310">
        <v>44335</v>
      </c>
      <c r="M250" s="374">
        <v>44363</v>
      </c>
      <c r="N250" s="314"/>
    </row>
    <row r="251" spans="1:14" x14ac:dyDescent="0.3">
      <c r="A251" s="124" t="s">
        <v>3086</v>
      </c>
      <c r="B251" s="342" t="s">
        <v>3093</v>
      </c>
      <c r="C251" s="342" t="s">
        <v>2431</v>
      </c>
      <c r="D251" s="125" t="s">
        <v>3098</v>
      </c>
      <c r="E251" s="313">
        <v>30</v>
      </c>
      <c r="F251" s="313" t="s">
        <v>1978</v>
      </c>
      <c r="G251" s="310">
        <v>44365</v>
      </c>
      <c r="H251" s="503">
        <f t="shared" si="6"/>
        <v>25</v>
      </c>
      <c r="I251" s="311">
        <v>90</v>
      </c>
      <c r="J251" s="311">
        <v>191</v>
      </c>
      <c r="K251" s="375">
        <f t="shared" si="7"/>
        <v>17190</v>
      </c>
      <c r="L251" s="310">
        <v>44336</v>
      </c>
      <c r="M251" s="374">
        <v>44363</v>
      </c>
      <c r="N251" s="314"/>
    </row>
    <row r="252" spans="1:14" x14ac:dyDescent="0.3">
      <c r="A252" s="124" t="s">
        <v>3126</v>
      </c>
      <c r="B252" s="342" t="s">
        <v>3130</v>
      </c>
      <c r="C252" s="342" t="s">
        <v>1511</v>
      </c>
      <c r="D252" s="313" t="s">
        <v>3139</v>
      </c>
      <c r="E252" s="313" t="s">
        <v>5</v>
      </c>
      <c r="F252" s="313"/>
      <c r="G252" s="310">
        <v>44349</v>
      </c>
      <c r="H252" s="503">
        <f t="shared" si="6"/>
        <v>23</v>
      </c>
      <c r="I252" s="311">
        <v>100</v>
      </c>
      <c r="J252" s="311">
        <v>241.525423728813</v>
      </c>
      <c r="K252" s="375">
        <f t="shared" si="7"/>
        <v>24152.5423728813</v>
      </c>
      <c r="L252" s="310">
        <v>44349</v>
      </c>
      <c r="M252" s="374">
        <v>44363</v>
      </c>
      <c r="N252" s="314"/>
    </row>
    <row r="253" spans="1:14" x14ac:dyDescent="0.3">
      <c r="A253" s="124" t="s">
        <v>3129</v>
      </c>
      <c r="B253" s="342" t="s">
        <v>3130</v>
      </c>
      <c r="C253" s="342" t="s">
        <v>1511</v>
      </c>
      <c r="D253" s="313" t="s">
        <v>3140</v>
      </c>
      <c r="E253" s="313" t="s">
        <v>5</v>
      </c>
      <c r="F253" s="313"/>
      <c r="G253" s="310">
        <v>44352</v>
      </c>
      <c r="H253" s="503">
        <f t="shared" si="6"/>
        <v>23</v>
      </c>
      <c r="I253" s="311">
        <v>20</v>
      </c>
      <c r="J253" s="311">
        <v>241.525423728813</v>
      </c>
      <c r="K253" s="375">
        <f t="shared" si="7"/>
        <v>4830.5084745762597</v>
      </c>
      <c r="L253" s="310">
        <v>44349</v>
      </c>
      <c r="M253" s="374">
        <v>44363</v>
      </c>
      <c r="N253" s="314"/>
    </row>
    <row r="254" spans="1:14" ht="15" x14ac:dyDescent="0.25">
      <c r="A254" s="124" t="s">
        <v>3099</v>
      </c>
      <c r="B254" s="342" t="s">
        <v>504</v>
      </c>
      <c r="C254" s="342" t="s">
        <v>1836</v>
      </c>
      <c r="D254" s="313" t="s">
        <v>3123</v>
      </c>
      <c r="E254" s="313">
        <v>30</v>
      </c>
      <c r="F254" s="313" t="s">
        <v>1978</v>
      </c>
      <c r="G254" s="310">
        <v>44371</v>
      </c>
      <c r="H254" s="503">
        <f t="shared" si="6"/>
        <v>26</v>
      </c>
      <c r="I254" s="311">
        <v>30</v>
      </c>
      <c r="J254" s="311">
        <v>2700</v>
      </c>
      <c r="K254" s="375">
        <f t="shared" si="7"/>
        <v>81000</v>
      </c>
      <c r="L254" s="310">
        <v>44341</v>
      </c>
      <c r="M254" s="374">
        <v>44370</v>
      </c>
      <c r="N254" s="314"/>
    </row>
    <row r="255" spans="1:14" x14ac:dyDescent="0.3">
      <c r="A255" s="342" t="s">
        <v>2924</v>
      </c>
      <c r="B255" s="342" t="s">
        <v>1040</v>
      </c>
      <c r="C255" s="342" t="s">
        <v>550</v>
      </c>
      <c r="D255" s="313" t="s">
        <v>2900</v>
      </c>
      <c r="E255" s="313">
        <v>90</v>
      </c>
      <c r="F255" s="373" t="s">
        <v>1978</v>
      </c>
      <c r="G255" s="310">
        <v>44371</v>
      </c>
      <c r="H255" s="503">
        <f t="shared" si="6"/>
        <v>26</v>
      </c>
      <c r="I255" s="311">
        <v>30</v>
      </c>
      <c r="J255" s="311">
        <v>549</v>
      </c>
      <c r="K255" s="375">
        <f t="shared" si="7"/>
        <v>16470</v>
      </c>
      <c r="L255" s="310">
        <v>44305</v>
      </c>
      <c r="M255" s="374">
        <v>44370</v>
      </c>
      <c r="N255" s="314"/>
    </row>
    <row r="256" spans="1:14" x14ac:dyDescent="0.3">
      <c r="A256" s="342" t="s">
        <v>2925</v>
      </c>
      <c r="B256" s="342" t="s">
        <v>1040</v>
      </c>
      <c r="C256" s="342" t="s">
        <v>550</v>
      </c>
      <c r="D256" s="313" t="s">
        <v>2900</v>
      </c>
      <c r="E256" s="313">
        <v>90</v>
      </c>
      <c r="F256" s="373" t="s">
        <v>1978</v>
      </c>
      <c r="G256" s="310">
        <v>44371</v>
      </c>
      <c r="H256" s="503">
        <f t="shared" si="6"/>
        <v>26</v>
      </c>
      <c r="I256" s="311">
        <v>30</v>
      </c>
      <c r="J256" s="311">
        <v>549</v>
      </c>
      <c r="K256" s="375">
        <f t="shared" si="7"/>
        <v>16470</v>
      </c>
      <c r="L256" s="310">
        <v>44305</v>
      </c>
      <c r="M256" s="374">
        <v>44370</v>
      </c>
      <c r="N256" s="314"/>
    </row>
    <row r="257" spans="1:14" ht="15" x14ac:dyDescent="0.25">
      <c r="A257" s="124" t="s">
        <v>3104</v>
      </c>
      <c r="B257" s="342" t="s">
        <v>3093</v>
      </c>
      <c r="C257" s="342" t="s">
        <v>589</v>
      </c>
      <c r="D257" s="313" t="s">
        <v>3133</v>
      </c>
      <c r="E257" s="313">
        <v>30</v>
      </c>
      <c r="F257" s="313" t="s">
        <v>1978</v>
      </c>
      <c r="G257" s="310">
        <v>44374</v>
      </c>
      <c r="H257" s="503">
        <f t="shared" si="6"/>
        <v>27</v>
      </c>
      <c r="I257" s="311">
        <v>2.2000000000000002</v>
      </c>
      <c r="J257" s="311">
        <v>170</v>
      </c>
      <c r="K257" s="375">
        <f t="shared" si="7"/>
        <v>374.00000000000006</v>
      </c>
      <c r="L257" s="310">
        <v>44344</v>
      </c>
      <c r="M257" s="374">
        <v>44370</v>
      </c>
      <c r="N257" s="314"/>
    </row>
    <row r="258" spans="1:14" ht="15" x14ac:dyDescent="0.25">
      <c r="A258" s="124" t="s">
        <v>3102</v>
      </c>
      <c r="B258" s="342" t="s">
        <v>504</v>
      </c>
      <c r="C258" s="342" t="s">
        <v>1836</v>
      </c>
      <c r="D258" s="313" t="s">
        <v>3135</v>
      </c>
      <c r="E258" s="313">
        <v>30</v>
      </c>
      <c r="F258" s="313" t="s">
        <v>1978</v>
      </c>
      <c r="G258" s="310">
        <v>44377</v>
      </c>
      <c r="H258" s="503">
        <f t="shared" ref="H258:H321" si="8">WEEKNUM(G258)</f>
        <v>27</v>
      </c>
      <c r="I258" s="311">
        <v>30</v>
      </c>
      <c r="J258" s="311">
        <v>2700</v>
      </c>
      <c r="K258" s="375">
        <f t="shared" ref="K258:K271" si="9">+I258*J258</f>
        <v>81000</v>
      </c>
      <c r="L258" s="310">
        <v>44347</v>
      </c>
      <c r="M258" s="374">
        <v>44376</v>
      </c>
      <c r="N258" s="314"/>
    </row>
    <row r="259" spans="1:14" ht="15" x14ac:dyDescent="0.25">
      <c r="A259" s="124" t="s">
        <v>3090</v>
      </c>
      <c r="B259" s="342" t="s">
        <v>3093</v>
      </c>
      <c r="C259" s="342" t="s">
        <v>506</v>
      </c>
      <c r="D259" s="313" t="s">
        <v>3117</v>
      </c>
      <c r="E259" s="313">
        <v>45</v>
      </c>
      <c r="F259" s="313" t="s">
        <v>1978</v>
      </c>
      <c r="G259" s="310">
        <v>44382</v>
      </c>
      <c r="H259" s="503">
        <f t="shared" si="8"/>
        <v>28</v>
      </c>
      <c r="I259" s="311">
        <v>109</v>
      </c>
      <c r="J259" s="311">
        <v>180</v>
      </c>
      <c r="K259" s="375">
        <f t="shared" si="9"/>
        <v>19620</v>
      </c>
      <c r="L259" s="310">
        <v>44340</v>
      </c>
      <c r="M259" s="374">
        <v>44384</v>
      </c>
      <c r="N259" s="314"/>
    </row>
    <row r="260" spans="1:14" ht="15" x14ac:dyDescent="0.25">
      <c r="A260" s="124" t="s">
        <v>3091</v>
      </c>
      <c r="B260" s="342" t="s">
        <v>3093</v>
      </c>
      <c r="C260" s="342" t="s">
        <v>506</v>
      </c>
      <c r="D260" s="313" t="s">
        <v>3118</v>
      </c>
      <c r="E260" s="313">
        <v>45</v>
      </c>
      <c r="F260" s="313" t="s">
        <v>1978</v>
      </c>
      <c r="G260" s="310">
        <v>44383</v>
      </c>
      <c r="H260" s="503">
        <f t="shared" si="8"/>
        <v>28</v>
      </c>
      <c r="I260" s="311">
        <v>101</v>
      </c>
      <c r="J260" s="311">
        <v>180</v>
      </c>
      <c r="K260" s="375">
        <f t="shared" si="9"/>
        <v>18180</v>
      </c>
      <c r="L260" s="310">
        <v>44340</v>
      </c>
      <c r="M260" s="374">
        <v>44384</v>
      </c>
      <c r="N260" s="314"/>
    </row>
    <row r="261" spans="1:14" ht="15" x14ac:dyDescent="0.25">
      <c r="A261" s="124" t="s">
        <v>3092</v>
      </c>
      <c r="B261" s="342" t="s">
        <v>3093</v>
      </c>
      <c r="C261" s="342" t="s">
        <v>506</v>
      </c>
      <c r="D261" s="313" t="s">
        <v>3119</v>
      </c>
      <c r="E261" s="313">
        <v>45</v>
      </c>
      <c r="F261" s="313" t="s">
        <v>1978</v>
      </c>
      <c r="G261" s="310">
        <v>44385</v>
      </c>
      <c r="H261" s="503">
        <f t="shared" si="8"/>
        <v>28</v>
      </c>
      <c r="I261" s="311">
        <v>76</v>
      </c>
      <c r="J261" s="311">
        <v>180</v>
      </c>
      <c r="K261" s="375">
        <f t="shared" si="9"/>
        <v>13680</v>
      </c>
      <c r="L261" s="310">
        <v>44342</v>
      </c>
      <c r="M261" s="374">
        <v>44384</v>
      </c>
      <c r="N261" s="314"/>
    </row>
    <row r="262" spans="1:14" ht="15" x14ac:dyDescent="0.25">
      <c r="A262" s="124" t="s">
        <v>3105</v>
      </c>
      <c r="B262" s="342" t="s">
        <v>3093</v>
      </c>
      <c r="C262" s="342" t="s">
        <v>506</v>
      </c>
      <c r="D262" s="313" t="s">
        <v>3120</v>
      </c>
      <c r="E262" s="313">
        <v>45</v>
      </c>
      <c r="F262" s="313" t="s">
        <v>1978</v>
      </c>
      <c r="G262" s="310">
        <v>44386</v>
      </c>
      <c r="H262" s="503">
        <f t="shared" si="8"/>
        <v>28</v>
      </c>
      <c r="I262" s="311">
        <v>109</v>
      </c>
      <c r="J262" s="311">
        <v>180</v>
      </c>
      <c r="K262" s="375">
        <f t="shared" si="9"/>
        <v>19620</v>
      </c>
      <c r="L262" s="310">
        <v>44342</v>
      </c>
      <c r="M262" s="374">
        <v>44384</v>
      </c>
      <c r="N262" s="314"/>
    </row>
    <row r="263" spans="1:14" ht="15" x14ac:dyDescent="0.25">
      <c r="A263" s="124" t="s">
        <v>3106</v>
      </c>
      <c r="B263" s="342" t="s">
        <v>3093</v>
      </c>
      <c r="C263" s="342" t="s">
        <v>506</v>
      </c>
      <c r="D263" s="313" t="s">
        <v>3121</v>
      </c>
      <c r="E263" s="313">
        <v>45</v>
      </c>
      <c r="F263" s="313" t="s">
        <v>1978</v>
      </c>
      <c r="G263" s="310">
        <v>44387</v>
      </c>
      <c r="H263" s="503">
        <f t="shared" si="8"/>
        <v>28</v>
      </c>
      <c r="I263" s="311">
        <v>76</v>
      </c>
      <c r="J263" s="311">
        <v>180</v>
      </c>
      <c r="K263" s="375">
        <f t="shared" si="9"/>
        <v>13680</v>
      </c>
      <c r="L263" s="310">
        <v>44343</v>
      </c>
      <c r="M263" s="374">
        <v>44384</v>
      </c>
      <c r="N263" s="314"/>
    </row>
    <row r="264" spans="1:14" ht="15" x14ac:dyDescent="0.25">
      <c r="A264" s="124" t="s">
        <v>3107</v>
      </c>
      <c r="B264" s="342" t="s">
        <v>3093</v>
      </c>
      <c r="C264" s="342" t="s">
        <v>506</v>
      </c>
      <c r="D264" s="313" t="s">
        <v>3122</v>
      </c>
      <c r="E264" s="313">
        <v>45</v>
      </c>
      <c r="F264" s="313" t="s">
        <v>1978</v>
      </c>
      <c r="G264" s="310">
        <v>44388</v>
      </c>
      <c r="H264" s="503">
        <f t="shared" si="8"/>
        <v>29</v>
      </c>
      <c r="I264" s="311">
        <v>109</v>
      </c>
      <c r="J264" s="311">
        <v>180</v>
      </c>
      <c r="K264" s="375">
        <f t="shared" si="9"/>
        <v>19620</v>
      </c>
      <c r="L264" s="310">
        <v>44343</v>
      </c>
      <c r="M264" s="374">
        <v>44384</v>
      </c>
      <c r="N264" s="314"/>
    </row>
    <row r="265" spans="1:14" ht="15" x14ac:dyDescent="0.25">
      <c r="A265" s="124" t="s">
        <v>3108</v>
      </c>
      <c r="B265" s="342" t="s">
        <v>3093</v>
      </c>
      <c r="C265" s="342" t="s">
        <v>506</v>
      </c>
      <c r="D265" s="313" t="s">
        <v>3134</v>
      </c>
      <c r="E265" s="313">
        <v>45</v>
      </c>
      <c r="F265" s="313" t="s">
        <v>1978</v>
      </c>
      <c r="G265" s="310">
        <v>44390</v>
      </c>
      <c r="H265" s="503">
        <f t="shared" si="8"/>
        <v>29</v>
      </c>
      <c r="I265" s="311">
        <v>20</v>
      </c>
      <c r="J265" s="311">
        <v>180</v>
      </c>
      <c r="K265" s="375">
        <f t="shared" si="9"/>
        <v>3600</v>
      </c>
      <c r="L265" s="310">
        <v>44345</v>
      </c>
      <c r="M265" s="374">
        <v>44384</v>
      </c>
      <c r="N265" s="314"/>
    </row>
    <row r="266" spans="1:14" x14ac:dyDescent="0.3">
      <c r="A266" s="342" t="s">
        <v>2936</v>
      </c>
      <c r="B266" s="342" t="s">
        <v>1040</v>
      </c>
      <c r="C266" s="342" t="s">
        <v>550</v>
      </c>
      <c r="D266" s="313" t="s">
        <v>2959</v>
      </c>
      <c r="E266" s="313">
        <v>90</v>
      </c>
      <c r="F266" s="373" t="s">
        <v>1978</v>
      </c>
      <c r="G266" s="310">
        <v>44385</v>
      </c>
      <c r="H266" s="503">
        <f t="shared" si="8"/>
        <v>28</v>
      </c>
      <c r="I266" s="311">
        <v>60</v>
      </c>
      <c r="J266" s="311">
        <v>549</v>
      </c>
      <c r="K266" s="375">
        <f t="shared" si="9"/>
        <v>32940</v>
      </c>
      <c r="L266" s="310">
        <v>44315</v>
      </c>
      <c r="M266" s="374">
        <v>44384</v>
      </c>
      <c r="N266" s="314"/>
    </row>
    <row r="267" spans="1:14" x14ac:dyDescent="0.3">
      <c r="A267" s="342" t="s">
        <v>2937</v>
      </c>
      <c r="B267" s="342" t="s">
        <v>1040</v>
      </c>
      <c r="C267" s="342" t="s">
        <v>550</v>
      </c>
      <c r="D267" s="313" t="s">
        <v>2960</v>
      </c>
      <c r="E267" s="313">
        <v>90</v>
      </c>
      <c r="F267" s="373" t="s">
        <v>1978</v>
      </c>
      <c r="G267" s="310">
        <v>44389</v>
      </c>
      <c r="H267" s="503">
        <f t="shared" si="8"/>
        <v>29</v>
      </c>
      <c r="I267" s="311">
        <v>60</v>
      </c>
      <c r="J267" s="311">
        <v>549</v>
      </c>
      <c r="K267" s="375">
        <f t="shared" si="9"/>
        <v>32940</v>
      </c>
      <c r="L267" s="310">
        <v>44312</v>
      </c>
      <c r="M267" s="374">
        <v>44384</v>
      </c>
      <c r="N267" s="314"/>
    </row>
    <row r="268" spans="1:14" x14ac:dyDescent="0.3">
      <c r="A268" s="124" t="s">
        <v>3218</v>
      </c>
      <c r="B268" s="342" t="s">
        <v>3130</v>
      </c>
      <c r="C268" s="342" t="s">
        <v>1511</v>
      </c>
      <c r="D268" s="313" t="s">
        <v>3241</v>
      </c>
      <c r="E268" s="313" t="s">
        <v>5</v>
      </c>
      <c r="F268" s="313"/>
      <c r="G268" s="310">
        <v>44375</v>
      </c>
      <c r="H268" s="503">
        <f t="shared" si="8"/>
        <v>27</v>
      </c>
      <c r="I268" s="311">
        <v>100</v>
      </c>
      <c r="J268" s="311">
        <v>285</v>
      </c>
      <c r="K268" s="311">
        <f t="shared" si="9"/>
        <v>28500</v>
      </c>
      <c r="L268" s="310">
        <v>44371</v>
      </c>
      <c r="M268" s="374">
        <v>44384</v>
      </c>
      <c r="N268" s="314"/>
    </row>
    <row r="269" spans="1:14" x14ac:dyDescent="0.3">
      <c r="A269" s="124" t="s">
        <v>3208</v>
      </c>
      <c r="B269" s="342" t="s">
        <v>3130</v>
      </c>
      <c r="C269" s="342" t="s">
        <v>1511</v>
      </c>
      <c r="D269" s="313" t="s">
        <v>3240</v>
      </c>
      <c r="E269" s="313" t="s">
        <v>5</v>
      </c>
      <c r="F269" s="313"/>
      <c r="G269" s="310">
        <v>44380</v>
      </c>
      <c r="H269" s="503">
        <f t="shared" si="8"/>
        <v>27</v>
      </c>
      <c r="I269" s="311">
        <v>80</v>
      </c>
      <c r="J269" s="311">
        <v>285</v>
      </c>
      <c r="K269" s="311">
        <f t="shared" si="9"/>
        <v>22800</v>
      </c>
      <c r="L269" s="310">
        <v>44378</v>
      </c>
      <c r="M269" s="374">
        <v>44384</v>
      </c>
      <c r="N269" s="314"/>
    </row>
    <row r="270" spans="1:14" x14ac:dyDescent="0.3">
      <c r="A270" s="124" t="s">
        <v>3128</v>
      </c>
      <c r="B270" s="342" t="s">
        <v>2663</v>
      </c>
      <c r="C270" s="342" t="s">
        <v>3131</v>
      </c>
      <c r="D270" s="313" t="s">
        <v>3237</v>
      </c>
      <c r="E270" s="313">
        <v>30</v>
      </c>
      <c r="F270" s="313" t="s">
        <v>1978</v>
      </c>
      <c r="G270" s="310">
        <v>44394</v>
      </c>
      <c r="H270" s="503">
        <f t="shared" si="8"/>
        <v>29</v>
      </c>
      <c r="I270" s="311">
        <v>7</v>
      </c>
      <c r="J270" s="311">
        <v>570</v>
      </c>
      <c r="K270" s="375">
        <f t="shared" si="9"/>
        <v>3990</v>
      </c>
      <c r="L270" s="310">
        <v>44368</v>
      </c>
      <c r="M270" s="374">
        <v>44384</v>
      </c>
      <c r="N270" s="314"/>
    </row>
    <row r="271" spans="1:14" x14ac:dyDescent="0.3">
      <c r="A271" s="124" t="s">
        <v>3109</v>
      </c>
      <c r="B271" s="342" t="s">
        <v>2667</v>
      </c>
      <c r="C271" s="342" t="s">
        <v>2554</v>
      </c>
      <c r="D271" s="313" t="s">
        <v>3124</v>
      </c>
      <c r="E271" s="313">
        <v>60</v>
      </c>
      <c r="F271" s="313" t="s">
        <v>509</v>
      </c>
      <c r="G271" s="310">
        <v>44401</v>
      </c>
      <c r="H271" s="503">
        <f t="shared" si="8"/>
        <v>30</v>
      </c>
      <c r="I271" s="311">
        <v>6.09</v>
      </c>
      <c r="J271" s="311">
        <v>3250</v>
      </c>
      <c r="K271" s="375">
        <f t="shared" si="9"/>
        <v>19792.5</v>
      </c>
      <c r="L271" s="310">
        <v>44342</v>
      </c>
      <c r="M271" s="374">
        <v>44398</v>
      </c>
      <c r="N271" s="314"/>
    </row>
    <row r="272" spans="1:14" s="421" customFormat="1" x14ac:dyDescent="0.3">
      <c r="A272" s="425" t="s">
        <v>3300</v>
      </c>
      <c r="B272" s="426" t="s">
        <v>3130</v>
      </c>
      <c r="C272" s="426" t="s">
        <v>1511</v>
      </c>
      <c r="D272" s="422" t="s">
        <v>3301</v>
      </c>
      <c r="E272" s="422" t="s">
        <v>5</v>
      </c>
      <c r="F272" s="422"/>
      <c r="G272" s="423">
        <v>44401</v>
      </c>
      <c r="H272" s="503">
        <f t="shared" si="8"/>
        <v>30</v>
      </c>
      <c r="I272" s="424">
        <v>150</v>
      </c>
      <c r="J272" s="424">
        <v>285</v>
      </c>
      <c r="K272" s="424">
        <v>42750</v>
      </c>
      <c r="L272" s="310">
        <v>44399</v>
      </c>
      <c r="M272" s="428">
        <v>44400</v>
      </c>
      <c r="N272" s="314"/>
    </row>
    <row r="273" spans="1:14" ht="15" x14ac:dyDescent="0.25">
      <c r="A273" s="124" t="s">
        <v>3246</v>
      </c>
      <c r="B273" s="342" t="s">
        <v>504</v>
      </c>
      <c r="C273" s="342" t="s">
        <v>1836</v>
      </c>
      <c r="D273" s="313" t="s">
        <v>3247</v>
      </c>
      <c r="E273" s="313">
        <v>30</v>
      </c>
      <c r="F273" s="313" t="s">
        <v>1978</v>
      </c>
      <c r="G273" s="310">
        <v>44379</v>
      </c>
      <c r="H273" s="503">
        <f t="shared" si="8"/>
        <v>27</v>
      </c>
      <c r="I273" s="311">
        <v>30</v>
      </c>
      <c r="J273" s="311">
        <v>2650</v>
      </c>
      <c r="K273" s="311">
        <v>79500</v>
      </c>
      <c r="L273" s="310">
        <v>44379</v>
      </c>
      <c r="M273" s="428">
        <v>44403</v>
      </c>
      <c r="N273" s="314"/>
    </row>
    <row r="274" spans="1:14" x14ac:dyDescent="0.3">
      <c r="A274" s="124" t="s">
        <v>3277</v>
      </c>
      <c r="B274" s="342" t="s">
        <v>3130</v>
      </c>
      <c r="C274" s="342" t="s">
        <v>1511</v>
      </c>
      <c r="D274" s="313" t="s">
        <v>3295</v>
      </c>
      <c r="E274" s="313" t="s">
        <v>5</v>
      </c>
      <c r="F274" s="313"/>
      <c r="G274" s="310">
        <v>44394</v>
      </c>
      <c r="H274" s="503">
        <f t="shared" si="8"/>
        <v>29</v>
      </c>
      <c r="I274" s="311">
        <v>50</v>
      </c>
      <c r="J274" s="311">
        <v>285</v>
      </c>
      <c r="K274" s="311">
        <v>14250</v>
      </c>
      <c r="L274" s="310">
        <v>44391</v>
      </c>
      <c r="M274" s="428">
        <v>44407</v>
      </c>
      <c r="N274" s="314"/>
    </row>
    <row r="275" spans="1:14" ht="15" x14ac:dyDescent="0.25">
      <c r="A275" s="124" t="s">
        <v>3200</v>
      </c>
      <c r="B275" s="342" t="s">
        <v>3093</v>
      </c>
      <c r="C275" s="342" t="s">
        <v>506</v>
      </c>
      <c r="D275" s="313" t="s">
        <v>3220</v>
      </c>
      <c r="E275" s="313">
        <v>60</v>
      </c>
      <c r="F275" s="313" t="s">
        <v>1978</v>
      </c>
      <c r="G275" s="310">
        <v>44416</v>
      </c>
      <c r="H275" s="503">
        <f t="shared" si="8"/>
        <v>33</v>
      </c>
      <c r="I275" s="311">
        <v>131</v>
      </c>
      <c r="J275" s="311">
        <v>180</v>
      </c>
      <c r="K275" s="311">
        <f t="shared" ref="K275:K308" si="10">+I275*J275</f>
        <v>23580</v>
      </c>
      <c r="L275" s="310">
        <v>44361</v>
      </c>
      <c r="M275" s="428">
        <v>44412</v>
      </c>
      <c r="N275" s="314"/>
    </row>
    <row r="276" spans="1:14" ht="15" x14ac:dyDescent="0.25">
      <c r="A276" s="124" t="s">
        <v>3201</v>
      </c>
      <c r="B276" s="342" t="s">
        <v>3093</v>
      </c>
      <c r="C276" s="342" t="s">
        <v>506</v>
      </c>
      <c r="D276" s="313" t="s">
        <v>3221</v>
      </c>
      <c r="E276" s="313">
        <v>60</v>
      </c>
      <c r="F276" s="313" t="s">
        <v>1978</v>
      </c>
      <c r="G276" s="310">
        <v>44417</v>
      </c>
      <c r="H276" s="503">
        <f t="shared" si="8"/>
        <v>33</v>
      </c>
      <c r="I276" s="311">
        <v>69</v>
      </c>
      <c r="J276" s="311">
        <v>180</v>
      </c>
      <c r="K276" s="311">
        <f t="shared" si="10"/>
        <v>12420</v>
      </c>
      <c r="L276" s="310">
        <v>44361</v>
      </c>
      <c r="M276" s="428">
        <v>44412</v>
      </c>
      <c r="N276" s="314"/>
    </row>
    <row r="277" spans="1:14" ht="15" x14ac:dyDescent="0.25">
      <c r="A277" s="124" t="s">
        <v>3202</v>
      </c>
      <c r="B277" s="342" t="s">
        <v>3093</v>
      </c>
      <c r="C277" s="342" t="s">
        <v>506</v>
      </c>
      <c r="D277" s="313" t="s">
        <v>3222</v>
      </c>
      <c r="E277" s="313">
        <v>60</v>
      </c>
      <c r="F277" s="313" t="s">
        <v>1978</v>
      </c>
      <c r="G277" s="310">
        <v>44418</v>
      </c>
      <c r="H277" s="503">
        <f t="shared" si="8"/>
        <v>33</v>
      </c>
      <c r="I277" s="311">
        <v>32</v>
      </c>
      <c r="J277" s="311">
        <v>180</v>
      </c>
      <c r="K277" s="311">
        <f t="shared" si="10"/>
        <v>5760</v>
      </c>
      <c r="L277" s="310">
        <v>44361</v>
      </c>
      <c r="M277" s="428">
        <v>44412</v>
      </c>
      <c r="N277" s="314"/>
    </row>
    <row r="278" spans="1:14" ht="15" x14ac:dyDescent="0.25">
      <c r="A278" s="124" t="s">
        <v>3205</v>
      </c>
      <c r="B278" s="342" t="s">
        <v>3093</v>
      </c>
      <c r="C278" s="342" t="s">
        <v>506</v>
      </c>
      <c r="D278" s="313" t="s">
        <v>3225</v>
      </c>
      <c r="E278" s="313">
        <v>60</v>
      </c>
      <c r="F278" s="313" t="s">
        <v>1978</v>
      </c>
      <c r="G278" s="310">
        <v>44417</v>
      </c>
      <c r="H278" s="503">
        <f t="shared" si="8"/>
        <v>33</v>
      </c>
      <c r="I278" s="311">
        <v>33.5</v>
      </c>
      <c r="J278" s="311">
        <v>180</v>
      </c>
      <c r="K278" s="311">
        <f t="shared" si="10"/>
        <v>6030</v>
      </c>
      <c r="L278" s="310">
        <v>44361</v>
      </c>
      <c r="M278" s="428">
        <v>44412</v>
      </c>
      <c r="N278" s="314"/>
    </row>
    <row r="279" spans="1:14" ht="15" x14ac:dyDescent="0.25">
      <c r="A279" s="124" t="s">
        <v>3206</v>
      </c>
      <c r="B279" s="342" t="s">
        <v>3093</v>
      </c>
      <c r="C279" s="342" t="s">
        <v>506</v>
      </c>
      <c r="D279" s="313" t="s">
        <v>3226</v>
      </c>
      <c r="E279" s="313">
        <v>60</v>
      </c>
      <c r="F279" s="313" t="s">
        <v>1978</v>
      </c>
      <c r="G279" s="310">
        <v>44418</v>
      </c>
      <c r="H279" s="503">
        <f t="shared" si="8"/>
        <v>33</v>
      </c>
      <c r="I279" s="311">
        <v>33</v>
      </c>
      <c r="J279" s="311">
        <v>180</v>
      </c>
      <c r="K279" s="311">
        <f t="shared" si="10"/>
        <v>5940</v>
      </c>
      <c r="L279" s="310">
        <v>44361</v>
      </c>
      <c r="M279" s="428">
        <v>44412</v>
      </c>
      <c r="N279" s="314"/>
    </row>
    <row r="280" spans="1:14" ht="15" x14ac:dyDescent="0.25">
      <c r="A280" s="124" t="s">
        <v>3207</v>
      </c>
      <c r="B280" s="342" t="s">
        <v>3093</v>
      </c>
      <c r="C280" s="342" t="s">
        <v>506</v>
      </c>
      <c r="D280" s="313" t="s">
        <v>3227</v>
      </c>
      <c r="E280" s="313">
        <v>60</v>
      </c>
      <c r="F280" s="313" t="s">
        <v>1978</v>
      </c>
      <c r="G280" s="310">
        <v>44418</v>
      </c>
      <c r="H280" s="503">
        <f t="shared" si="8"/>
        <v>33</v>
      </c>
      <c r="I280" s="311">
        <v>108.5</v>
      </c>
      <c r="J280" s="311">
        <v>180</v>
      </c>
      <c r="K280" s="311">
        <f t="shared" si="10"/>
        <v>19530</v>
      </c>
      <c r="L280" s="310">
        <v>44361</v>
      </c>
      <c r="M280" s="428">
        <v>44412</v>
      </c>
      <c r="N280" s="314"/>
    </row>
    <row r="281" spans="1:14" x14ac:dyDescent="0.3">
      <c r="A281" s="124" t="s">
        <v>3110</v>
      </c>
      <c r="B281" s="342" t="s">
        <v>2555</v>
      </c>
      <c r="C281" s="342" t="s">
        <v>2554</v>
      </c>
      <c r="D281" s="313" t="s">
        <v>3234</v>
      </c>
      <c r="E281" s="313">
        <v>60</v>
      </c>
      <c r="F281" s="313" t="s">
        <v>509</v>
      </c>
      <c r="G281" s="310">
        <v>44417</v>
      </c>
      <c r="H281" s="503">
        <f t="shared" si="8"/>
        <v>33</v>
      </c>
      <c r="I281" s="311">
        <v>1</v>
      </c>
      <c r="J281" s="311">
        <v>8450</v>
      </c>
      <c r="K281" s="375">
        <f t="shared" si="10"/>
        <v>8450</v>
      </c>
      <c r="L281" s="310">
        <v>44361</v>
      </c>
      <c r="M281" s="428">
        <v>44412</v>
      </c>
      <c r="N281" s="314"/>
    </row>
    <row r="282" spans="1:14" x14ac:dyDescent="0.3">
      <c r="A282" s="124" t="s">
        <v>2188</v>
      </c>
      <c r="B282" s="124" t="s">
        <v>2209</v>
      </c>
      <c r="C282" s="124" t="s">
        <v>1511</v>
      </c>
      <c r="D282" s="125" t="s">
        <v>2266</v>
      </c>
      <c r="E282" s="125">
        <v>120</v>
      </c>
      <c r="F282" s="125" t="s">
        <v>1978</v>
      </c>
      <c r="G282" s="310">
        <v>44246</v>
      </c>
      <c r="H282" s="503">
        <f t="shared" si="8"/>
        <v>8</v>
      </c>
      <c r="I282" s="311">
        <v>6160</v>
      </c>
      <c r="J282" s="311">
        <v>4.26</v>
      </c>
      <c r="K282" s="311">
        <f t="shared" si="10"/>
        <v>26241.599999999999</v>
      </c>
      <c r="L282" s="310">
        <v>44127</v>
      </c>
      <c r="M282" s="428">
        <v>44414</v>
      </c>
      <c r="N282" s="314"/>
    </row>
    <row r="283" spans="1:14" x14ac:dyDescent="0.3">
      <c r="A283" s="124" t="s">
        <v>2192</v>
      </c>
      <c r="B283" s="124" t="s">
        <v>2210</v>
      </c>
      <c r="C283" s="124" t="s">
        <v>1511</v>
      </c>
      <c r="D283" s="125" t="s">
        <v>2270</v>
      </c>
      <c r="E283" s="125">
        <v>210</v>
      </c>
      <c r="F283" s="125" t="s">
        <v>1978</v>
      </c>
      <c r="G283" s="310">
        <v>44336</v>
      </c>
      <c r="H283" s="503">
        <f t="shared" si="8"/>
        <v>21</v>
      </c>
      <c r="I283" s="311">
        <v>4320</v>
      </c>
      <c r="J283" s="311">
        <v>7.43</v>
      </c>
      <c r="K283" s="311">
        <f t="shared" si="10"/>
        <v>32097.599999999999</v>
      </c>
      <c r="L283" s="310">
        <v>44127</v>
      </c>
      <c r="M283" s="428">
        <v>44414</v>
      </c>
      <c r="N283" s="314"/>
    </row>
    <row r="284" spans="1:14" x14ac:dyDescent="0.3">
      <c r="A284" s="124" t="s">
        <v>2193</v>
      </c>
      <c r="B284" s="124" t="s">
        <v>2211</v>
      </c>
      <c r="C284" s="124" t="s">
        <v>1511</v>
      </c>
      <c r="D284" s="125" t="s">
        <v>2271</v>
      </c>
      <c r="E284" s="125">
        <v>210</v>
      </c>
      <c r="F284" s="125" t="s">
        <v>1978</v>
      </c>
      <c r="G284" s="310">
        <v>44336</v>
      </c>
      <c r="H284" s="503">
        <f t="shared" si="8"/>
        <v>21</v>
      </c>
      <c r="I284" s="311">
        <v>2050</v>
      </c>
      <c r="J284" s="311">
        <v>7</v>
      </c>
      <c r="K284" s="311">
        <f t="shared" si="10"/>
        <v>14350</v>
      </c>
      <c r="L284" s="310">
        <v>44127</v>
      </c>
      <c r="M284" s="428">
        <v>44414</v>
      </c>
      <c r="N284" s="314"/>
    </row>
    <row r="285" spans="1:14" x14ac:dyDescent="0.3">
      <c r="A285" s="124" t="s">
        <v>2195</v>
      </c>
      <c r="B285" s="124" t="s">
        <v>2212</v>
      </c>
      <c r="C285" s="124" t="s">
        <v>1511</v>
      </c>
      <c r="D285" s="125" t="s">
        <v>2273</v>
      </c>
      <c r="E285" s="125">
        <v>210</v>
      </c>
      <c r="F285" s="125" t="s">
        <v>1978</v>
      </c>
      <c r="G285" s="310">
        <v>44336</v>
      </c>
      <c r="H285" s="503">
        <f t="shared" si="8"/>
        <v>21</v>
      </c>
      <c r="I285" s="311">
        <v>2694</v>
      </c>
      <c r="J285" s="311">
        <v>5.81</v>
      </c>
      <c r="K285" s="311">
        <f t="shared" si="10"/>
        <v>15652.14</v>
      </c>
      <c r="L285" s="310">
        <v>44127</v>
      </c>
      <c r="M285" s="428">
        <v>44414</v>
      </c>
      <c r="N285" s="314"/>
    </row>
    <row r="286" spans="1:14" x14ac:dyDescent="0.3">
      <c r="A286" s="124" t="s">
        <v>2195</v>
      </c>
      <c r="B286" s="124" t="s">
        <v>2212</v>
      </c>
      <c r="C286" s="124" t="s">
        <v>1511</v>
      </c>
      <c r="D286" s="125" t="s">
        <v>3003</v>
      </c>
      <c r="E286" s="125"/>
      <c r="F286" s="125" t="s">
        <v>1978</v>
      </c>
      <c r="G286" s="310">
        <v>44322</v>
      </c>
      <c r="H286" s="503">
        <f t="shared" si="8"/>
        <v>19</v>
      </c>
      <c r="I286" s="311">
        <v>-5</v>
      </c>
      <c r="J286" s="311">
        <v>5.81</v>
      </c>
      <c r="K286" s="311">
        <f t="shared" si="10"/>
        <v>-29.049999999999997</v>
      </c>
      <c r="L286" s="310">
        <v>44322</v>
      </c>
      <c r="M286" s="428">
        <v>44414</v>
      </c>
      <c r="N286" s="371" t="s">
        <v>3004</v>
      </c>
    </row>
    <row r="287" spans="1:14" ht="15" x14ac:dyDescent="0.25">
      <c r="A287" s="124" t="s">
        <v>3203</v>
      </c>
      <c r="B287" s="342" t="s">
        <v>3093</v>
      </c>
      <c r="C287" s="342" t="s">
        <v>506</v>
      </c>
      <c r="D287" s="313" t="s">
        <v>3223</v>
      </c>
      <c r="E287" s="313">
        <v>60</v>
      </c>
      <c r="F287" s="313" t="s">
        <v>1978</v>
      </c>
      <c r="G287" s="310">
        <v>44421</v>
      </c>
      <c r="H287" s="503">
        <f t="shared" si="8"/>
        <v>33</v>
      </c>
      <c r="I287" s="311">
        <v>30</v>
      </c>
      <c r="J287" s="311">
        <v>180</v>
      </c>
      <c r="K287" s="311">
        <f t="shared" si="10"/>
        <v>5400</v>
      </c>
      <c r="L287" s="310">
        <v>44362</v>
      </c>
      <c r="M287" s="428">
        <v>44419</v>
      </c>
      <c r="N287" s="314"/>
    </row>
    <row r="288" spans="1:14" ht="15" x14ac:dyDescent="0.25">
      <c r="A288" s="124" t="s">
        <v>3204</v>
      </c>
      <c r="B288" s="342" t="s">
        <v>3093</v>
      </c>
      <c r="C288" s="342" t="s">
        <v>506</v>
      </c>
      <c r="D288" s="313" t="s">
        <v>3224</v>
      </c>
      <c r="E288" s="313">
        <v>60</v>
      </c>
      <c r="F288" s="313" t="s">
        <v>1978</v>
      </c>
      <c r="G288" s="310">
        <v>44422</v>
      </c>
      <c r="H288" s="503">
        <f t="shared" si="8"/>
        <v>33</v>
      </c>
      <c r="I288" s="311">
        <v>63</v>
      </c>
      <c r="J288" s="311">
        <v>180</v>
      </c>
      <c r="K288" s="311">
        <f t="shared" si="10"/>
        <v>11340</v>
      </c>
      <c r="L288" s="310">
        <v>44362</v>
      </c>
      <c r="M288" s="428">
        <v>44419</v>
      </c>
      <c r="N288" s="314"/>
    </row>
    <row r="289" spans="1:14" ht="15" x14ac:dyDescent="0.25">
      <c r="A289" s="124" t="s">
        <v>3209</v>
      </c>
      <c r="B289" s="342" t="s">
        <v>3219</v>
      </c>
      <c r="C289" s="342" t="s">
        <v>506</v>
      </c>
      <c r="D289" s="313" t="s">
        <v>3228</v>
      </c>
      <c r="E289" s="313">
        <v>60</v>
      </c>
      <c r="F289" s="313" t="s">
        <v>1978</v>
      </c>
      <c r="G289" s="310">
        <v>44424</v>
      </c>
      <c r="H289" s="503">
        <f t="shared" si="8"/>
        <v>34</v>
      </c>
      <c r="I289" s="311">
        <v>30</v>
      </c>
      <c r="J289" s="311">
        <v>720</v>
      </c>
      <c r="K289" s="311">
        <f t="shared" si="10"/>
        <v>21600</v>
      </c>
      <c r="L289" s="310">
        <v>44365</v>
      </c>
      <c r="M289" s="428">
        <v>44419</v>
      </c>
      <c r="N289" s="314"/>
    </row>
    <row r="290" spans="1:14" ht="15" x14ac:dyDescent="0.25">
      <c r="A290" s="124" t="s">
        <v>3210</v>
      </c>
      <c r="B290" s="342" t="s">
        <v>3219</v>
      </c>
      <c r="C290" s="342" t="s">
        <v>506</v>
      </c>
      <c r="D290" s="313" t="s">
        <v>3229</v>
      </c>
      <c r="E290" s="313">
        <v>60</v>
      </c>
      <c r="F290" s="313" t="s">
        <v>1978</v>
      </c>
      <c r="G290" s="310">
        <v>44425</v>
      </c>
      <c r="H290" s="503">
        <f t="shared" si="8"/>
        <v>34</v>
      </c>
      <c r="I290" s="311">
        <v>30</v>
      </c>
      <c r="J290" s="311">
        <v>720</v>
      </c>
      <c r="K290" s="311">
        <f t="shared" si="10"/>
        <v>21600</v>
      </c>
      <c r="L290" s="310">
        <v>44365</v>
      </c>
      <c r="M290" s="428">
        <v>44419</v>
      </c>
      <c r="N290" s="314"/>
    </row>
    <row r="291" spans="1:14" ht="15" x14ac:dyDescent="0.25">
      <c r="A291" s="124" t="s">
        <v>3213</v>
      </c>
      <c r="B291" s="342" t="s">
        <v>3219</v>
      </c>
      <c r="C291" s="342" t="s">
        <v>506</v>
      </c>
      <c r="D291" s="313" t="s">
        <v>3231</v>
      </c>
      <c r="E291" s="313">
        <v>60</v>
      </c>
      <c r="F291" s="313" t="s">
        <v>1978</v>
      </c>
      <c r="G291" s="310">
        <v>44424</v>
      </c>
      <c r="H291" s="503">
        <f t="shared" si="8"/>
        <v>34</v>
      </c>
      <c r="I291" s="311">
        <v>60</v>
      </c>
      <c r="J291" s="311">
        <v>730</v>
      </c>
      <c r="K291" s="311">
        <f t="shared" si="10"/>
        <v>43800</v>
      </c>
      <c r="L291" s="310">
        <v>44365</v>
      </c>
      <c r="M291" s="428">
        <v>44419</v>
      </c>
      <c r="N291" s="314"/>
    </row>
    <row r="292" spans="1:14" ht="15" x14ac:dyDescent="0.25">
      <c r="A292" s="342" t="s">
        <v>2951</v>
      </c>
      <c r="B292" s="342" t="s">
        <v>2955</v>
      </c>
      <c r="C292" s="342" t="s">
        <v>2953</v>
      </c>
      <c r="D292" s="313" t="s">
        <v>2963</v>
      </c>
      <c r="E292" s="313">
        <v>60</v>
      </c>
      <c r="F292" s="373" t="s">
        <v>1978</v>
      </c>
      <c r="G292" s="310">
        <v>44367</v>
      </c>
      <c r="H292" s="503">
        <f t="shared" si="8"/>
        <v>26</v>
      </c>
      <c r="I292" s="311">
        <v>84</v>
      </c>
      <c r="J292" s="311">
        <v>81</v>
      </c>
      <c r="K292" s="375">
        <f t="shared" si="10"/>
        <v>6804</v>
      </c>
      <c r="L292" s="310">
        <v>44307</v>
      </c>
      <c r="M292" s="428">
        <v>44370</v>
      </c>
      <c r="N292" s="314"/>
    </row>
    <row r="293" spans="1:14" ht="15" x14ac:dyDescent="0.25">
      <c r="A293" s="124" t="s">
        <v>3087</v>
      </c>
      <c r="B293" s="342" t="s">
        <v>3093</v>
      </c>
      <c r="C293" s="342" t="s">
        <v>589</v>
      </c>
      <c r="D293" s="313" t="s">
        <v>3114</v>
      </c>
      <c r="E293" s="313">
        <v>30</v>
      </c>
      <c r="F293" s="313" t="s">
        <v>1978</v>
      </c>
      <c r="G293" s="310">
        <v>44370</v>
      </c>
      <c r="H293" s="503">
        <f t="shared" si="8"/>
        <v>26</v>
      </c>
      <c r="I293" s="311">
        <v>108</v>
      </c>
      <c r="J293" s="311">
        <v>170</v>
      </c>
      <c r="K293" s="375">
        <f t="shared" si="10"/>
        <v>18360</v>
      </c>
      <c r="L293" s="310">
        <v>44341</v>
      </c>
      <c r="M293" s="428">
        <v>44365</v>
      </c>
      <c r="N293" s="314"/>
    </row>
    <row r="294" spans="1:14" ht="15" x14ac:dyDescent="0.25">
      <c r="A294" s="124" t="s">
        <v>3088</v>
      </c>
      <c r="B294" s="342" t="s">
        <v>3093</v>
      </c>
      <c r="C294" s="342" t="s">
        <v>589</v>
      </c>
      <c r="D294" s="313" t="s">
        <v>3115</v>
      </c>
      <c r="E294" s="313">
        <v>30</v>
      </c>
      <c r="F294" s="313" t="s">
        <v>1978</v>
      </c>
      <c r="G294" s="310">
        <v>44371</v>
      </c>
      <c r="H294" s="503">
        <f t="shared" si="8"/>
        <v>26</v>
      </c>
      <c r="I294" s="311">
        <v>113</v>
      </c>
      <c r="J294" s="311">
        <v>170</v>
      </c>
      <c r="K294" s="375">
        <f t="shared" si="10"/>
        <v>19210</v>
      </c>
      <c r="L294" s="310">
        <v>44343</v>
      </c>
      <c r="M294" s="428">
        <v>44368</v>
      </c>
      <c r="N294" s="314"/>
    </row>
    <row r="295" spans="1:14" ht="15" x14ac:dyDescent="0.25">
      <c r="A295" s="124" t="s">
        <v>3089</v>
      </c>
      <c r="B295" s="342" t="s">
        <v>3093</v>
      </c>
      <c r="C295" s="342" t="s">
        <v>589</v>
      </c>
      <c r="D295" s="313" t="s">
        <v>3116</v>
      </c>
      <c r="E295" s="313">
        <v>30</v>
      </c>
      <c r="F295" s="313" t="s">
        <v>1978</v>
      </c>
      <c r="G295" s="310">
        <v>44372</v>
      </c>
      <c r="H295" s="503">
        <f t="shared" si="8"/>
        <v>26</v>
      </c>
      <c r="I295" s="311">
        <v>38</v>
      </c>
      <c r="J295" s="311">
        <v>170</v>
      </c>
      <c r="K295" s="375">
        <f t="shared" si="10"/>
        <v>6460</v>
      </c>
      <c r="L295" s="310">
        <v>44343</v>
      </c>
      <c r="M295" s="428">
        <v>44370</v>
      </c>
      <c r="N295" s="314"/>
    </row>
    <row r="296" spans="1:14" ht="15" x14ac:dyDescent="0.25">
      <c r="A296" s="124" t="s">
        <v>3103</v>
      </c>
      <c r="B296" s="342" t="s">
        <v>3093</v>
      </c>
      <c r="C296" s="342" t="s">
        <v>589</v>
      </c>
      <c r="D296" s="313" t="s">
        <v>3132</v>
      </c>
      <c r="E296" s="313">
        <v>30</v>
      </c>
      <c r="F296" s="313" t="s">
        <v>1978</v>
      </c>
      <c r="G296" s="310">
        <v>44377</v>
      </c>
      <c r="H296" s="503">
        <f t="shared" si="8"/>
        <v>27</v>
      </c>
      <c r="I296" s="311">
        <v>38</v>
      </c>
      <c r="J296" s="311">
        <v>170</v>
      </c>
      <c r="K296" s="375">
        <f t="shared" si="10"/>
        <v>6460</v>
      </c>
      <c r="L296" s="310">
        <v>44348</v>
      </c>
      <c r="M296" s="428">
        <v>44376</v>
      </c>
      <c r="N296" s="314"/>
    </row>
    <row r="297" spans="1:14" ht="15" x14ac:dyDescent="0.25">
      <c r="A297" s="124" t="s">
        <v>3100</v>
      </c>
      <c r="B297" s="342" t="s">
        <v>2701</v>
      </c>
      <c r="C297" s="342" t="s">
        <v>589</v>
      </c>
      <c r="D297" s="313" t="s">
        <v>3136</v>
      </c>
      <c r="E297" s="313">
        <v>30</v>
      </c>
      <c r="F297" s="313" t="s">
        <v>1978</v>
      </c>
      <c r="G297" s="310">
        <v>44373</v>
      </c>
      <c r="H297" s="503">
        <f t="shared" si="8"/>
        <v>26</v>
      </c>
      <c r="I297" s="311">
        <v>38</v>
      </c>
      <c r="J297" s="311">
        <v>350</v>
      </c>
      <c r="K297" s="375">
        <f t="shared" si="10"/>
        <v>13300</v>
      </c>
      <c r="L297" s="310">
        <v>44344</v>
      </c>
      <c r="M297" s="428">
        <v>44370</v>
      </c>
      <c r="N297" s="314"/>
    </row>
    <row r="298" spans="1:14" ht="15" x14ac:dyDescent="0.25">
      <c r="A298" s="124" t="s">
        <v>3101</v>
      </c>
      <c r="B298" s="342" t="s">
        <v>2701</v>
      </c>
      <c r="C298" s="342" t="s">
        <v>589</v>
      </c>
      <c r="D298" s="313" t="s">
        <v>3137</v>
      </c>
      <c r="E298" s="313">
        <v>30</v>
      </c>
      <c r="F298" s="313" t="s">
        <v>1978</v>
      </c>
      <c r="G298" s="310">
        <v>44374</v>
      </c>
      <c r="H298" s="503">
        <f t="shared" si="8"/>
        <v>27</v>
      </c>
      <c r="I298" s="311">
        <v>35.799999999999997</v>
      </c>
      <c r="J298" s="311">
        <v>350</v>
      </c>
      <c r="K298" s="375">
        <f t="shared" si="10"/>
        <v>12529.999999999998</v>
      </c>
      <c r="L298" s="310">
        <v>44344</v>
      </c>
      <c r="M298" s="428">
        <v>44370</v>
      </c>
      <c r="N298" s="314"/>
    </row>
    <row r="299" spans="1:14" x14ac:dyDescent="0.3">
      <c r="A299" s="124" t="s">
        <v>3111</v>
      </c>
      <c r="B299" s="342" t="s">
        <v>1975</v>
      </c>
      <c r="C299" s="342" t="s">
        <v>589</v>
      </c>
      <c r="D299" s="313" t="s">
        <v>3125</v>
      </c>
      <c r="E299" s="313">
        <v>30</v>
      </c>
      <c r="F299" s="313" t="s">
        <v>1978</v>
      </c>
      <c r="G299" s="310">
        <v>44371</v>
      </c>
      <c r="H299" s="503">
        <f t="shared" si="8"/>
        <v>26</v>
      </c>
      <c r="I299" s="311">
        <v>6</v>
      </c>
      <c r="J299" s="311">
        <v>1390</v>
      </c>
      <c r="K299" s="375">
        <f t="shared" si="10"/>
        <v>8340</v>
      </c>
      <c r="L299" s="310">
        <v>44343</v>
      </c>
      <c r="M299" s="428">
        <v>44368</v>
      </c>
      <c r="N299" s="314"/>
    </row>
    <row r="300" spans="1:14" x14ac:dyDescent="0.3">
      <c r="A300" s="124" t="s">
        <v>3112</v>
      </c>
      <c r="B300" s="342" t="s">
        <v>2202</v>
      </c>
      <c r="C300" s="342" t="s">
        <v>2938</v>
      </c>
      <c r="D300" s="313" t="s">
        <v>3138</v>
      </c>
      <c r="E300" s="313">
        <v>30</v>
      </c>
      <c r="F300" s="313" t="s">
        <v>509</v>
      </c>
      <c r="G300" s="310">
        <v>44371</v>
      </c>
      <c r="H300" s="503">
        <f t="shared" si="8"/>
        <v>26</v>
      </c>
      <c r="I300" s="311">
        <v>500</v>
      </c>
      <c r="J300" s="311">
        <v>415</v>
      </c>
      <c r="K300" s="375">
        <f t="shared" si="10"/>
        <v>207500</v>
      </c>
      <c r="L300" s="310">
        <v>44347</v>
      </c>
      <c r="M300" s="428">
        <v>44372</v>
      </c>
      <c r="N300" s="314"/>
    </row>
    <row r="301" spans="1:14" x14ac:dyDescent="0.3">
      <c r="A301" s="124" t="s">
        <v>3113</v>
      </c>
      <c r="B301" s="342" t="s">
        <v>1977</v>
      </c>
      <c r="C301" s="342" t="s">
        <v>589</v>
      </c>
      <c r="D301" s="313" t="s">
        <v>3235</v>
      </c>
      <c r="E301" s="313">
        <v>30</v>
      </c>
      <c r="F301" s="313" t="s">
        <v>509</v>
      </c>
      <c r="G301" s="310">
        <v>44391</v>
      </c>
      <c r="H301" s="503">
        <f t="shared" si="8"/>
        <v>29</v>
      </c>
      <c r="I301" s="311">
        <v>6</v>
      </c>
      <c r="J301" s="311">
        <v>4550</v>
      </c>
      <c r="K301" s="375">
        <f t="shared" si="10"/>
        <v>27300</v>
      </c>
      <c r="L301" s="310">
        <v>44362</v>
      </c>
      <c r="M301" s="428">
        <v>44389</v>
      </c>
      <c r="N301" s="314"/>
    </row>
    <row r="302" spans="1:14" x14ac:dyDescent="0.3">
      <c r="A302" s="124" t="s">
        <v>3127</v>
      </c>
      <c r="B302" s="342" t="s">
        <v>2663</v>
      </c>
      <c r="C302" s="342" t="s">
        <v>589</v>
      </c>
      <c r="D302" s="313" t="s">
        <v>3236</v>
      </c>
      <c r="E302" s="313">
        <v>30</v>
      </c>
      <c r="F302" s="313" t="s">
        <v>1978</v>
      </c>
      <c r="G302" s="310">
        <v>44398</v>
      </c>
      <c r="H302" s="503">
        <f t="shared" si="8"/>
        <v>30</v>
      </c>
      <c r="I302" s="311">
        <v>8</v>
      </c>
      <c r="J302" s="311">
        <v>580</v>
      </c>
      <c r="K302" s="375">
        <f t="shared" si="10"/>
        <v>4640</v>
      </c>
      <c r="L302" s="310">
        <v>44370</v>
      </c>
      <c r="M302" s="428">
        <v>44396</v>
      </c>
      <c r="N302" s="314"/>
    </row>
    <row r="303" spans="1:14" ht="15" x14ac:dyDescent="0.25">
      <c r="A303" s="124" t="s">
        <v>3211</v>
      </c>
      <c r="B303" s="342" t="s">
        <v>3219</v>
      </c>
      <c r="C303" s="342" t="s">
        <v>589</v>
      </c>
      <c r="D303" s="313" t="s">
        <v>3230</v>
      </c>
      <c r="E303" s="313">
        <v>30</v>
      </c>
      <c r="F303" s="313" t="s">
        <v>1978</v>
      </c>
      <c r="G303" s="310">
        <v>44400</v>
      </c>
      <c r="H303" s="503">
        <f t="shared" si="8"/>
        <v>30</v>
      </c>
      <c r="I303" s="311">
        <v>12</v>
      </c>
      <c r="J303" s="311">
        <v>700</v>
      </c>
      <c r="K303" s="311">
        <f t="shared" si="10"/>
        <v>8400</v>
      </c>
      <c r="L303" s="310">
        <v>44371</v>
      </c>
      <c r="M303" s="428">
        <v>44396</v>
      </c>
      <c r="N303" s="314"/>
    </row>
    <row r="304" spans="1:14" ht="15" x14ac:dyDescent="0.25">
      <c r="A304" s="124" t="s">
        <v>3212</v>
      </c>
      <c r="B304" s="342" t="s">
        <v>3219</v>
      </c>
      <c r="C304" s="342" t="s">
        <v>589</v>
      </c>
      <c r="D304" s="313" t="s">
        <v>3250</v>
      </c>
      <c r="E304" s="313">
        <v>30</v>
      </c>
      <c r="F304" s="313" t="s">
        <v>1978</v>
      </c>
      <c r="G304" s="310">
        <v>44402</v>
      </c>
      <c r="H304" s="503">
        <f t="shared" si="8"/>
        <v>31</v>
      </c>
      <c r="I304" s="311">
        <v>38</v>
      </c>
      <c r="J304" s="311">
        <v>700</v>
      </c>
      <c r="K304" s="311">
        <f t="shared" si="10"/>
        <v>26600</v>
      </c>
      <c r="L304" s="310">
        <v>44374</v>
      </c>
      <c r="M304" s="428">
        <v>44398</v>
      </c>
      <c r="N304" s="314"/>
    </row>
    <row r="305" spans="1:14" ht="15" x14ac:dyDescent="0.25">
      <c r="A305" s="124" t="s">
        <v>3214</v>
      </c>
      <c r="B305" s="342" t="s">
        <v>3093</v>
      </c>
      <c r="C305" s="342" t="s">
        <v>589</v>
      </c>
      <c r="D305" s="313" t="s">
        <v>3232</v>
      </c>
      <c r="E305" s="313">
        <v>30</v>
      </c>
      <c r="F305" s="313" t="s">
        <v>1978</v>
      </c>
      <c r="G305" s="310">
        <v>44399</v>
      </c>
      <c r="H305" s="503">
        <f t="shared" si="8"/>
        <v>30</v>
      </c>
      <c r="I305" s="311">
        <v>38</v>
      </c>
      <c r="J305" s="311">
        <v>180</v>
      </c>
      <c r="K305" s="311">
        <f t="shared" si="10"/>
        <v>6840</v>
      </c>
      <c r="L305" s="310">
        <v>44371</v>
      </c>
      <c r="M305" s="428">
        <v>44396</v>
      </c>
      <c r="N305" s="314"/>
    </row>
    <row r="306" spans="1:14" ht="15" x14ac:dyDescent="0.25">
      <c r="A306" s="124" t="s">
        <v>3215</v>
      </c>
      <c r="B306" s="342" t="s">
        <v>3093</v>
      </c>
      <c r="C306" s="342" t="s">
        <v>589</v>
      </c>
      <c r="D306" s="313" t="s">
        <v>3233</v>
      </c>
      <c r="E306" s="313">
        <v>30</v>
      </c>
      <c r="F306" s="313" t="s">
        <v>1978</v>
      </c>
      <c r="G306" s="310">
        <v>44400</v>
      </c>
      <c r="H306" s="503">
        <f t="shared" si="8"/>
        <v>30</v>
      </c>
      <c r="I306" s="311">
        <v>64</v>
      </c>
      <c r="J306" s="311">
        <v>180</v>
      </c>
      <c r="K306" s="311">
        <f t="shared" si="10"/>
        <v>11520</v>
      </c>
      <c r="L306" s="310">
        <v>44371</v>
      </c>
      <c r="M306" s="428">
        <v>44396</v>
      </c>
      <c r="N306" s="314"/>
    </row>
    <row r="307" spans="1:14" ht="15" x14ac:dyDescent="0.25">
      <c r="A307" s="124" t="s">
        <v>3216</v>
      </c>
      <c r="B307" s="342" t="s">
        <v>3093</v>
      </c>
      <c r="C307" s="342" t="s">
        <v>589</v>
      </c>
      <c r="D307" s="313" t="s">
        <v>3249</v>
      </c>
      <c r="E307" s="313">
        <v>30</v>
      </c>
      <c r="F307" s="313" t="s">
        <v>1978</v>
      </c>
      <c r="G307" s="310">
        <v>44402</v>
      </c>
      <c r="H307" s="503">
        <f t="shared" si="8"/>
        <v>31</v>
      </c>
      <c r="I307" s="311">
        <v>38</v>
      </c>
      <c r="J307" s="311">
        <v>180</v>
      </c>
      <c r="K307" s="311">
        <f t="shared" si="10"/>
        <v>6840</v>
      </c>
      <c r="L307" s="310">
        <v>44374</v>
      </c>
      <c r="M307" s="428">
        <v>44398</v>
      </c>
      <c r="N307" s="314"/>
    </row>
    <row r="308" spans="1:14" ht="15" x14ac:dyDescent="0.25">
      <c r="A308" s="124" t="s">
        <v>3217</v>
      </c>
      <c r="B308" s="342" t="s">
        <v>3093</v>
      </c>
      <c r="C308" s="342" t="s">
        <v>589</v>
      </c>
      <c r="D308" s="313" t="s">
        <v>3248</v>
      </c>
      <c r="E308" s="313">
        <v>30</v>
      </c>
      <c r="F308" s="313" t="s">
        <v>1978</v>
      </c>
      <c r="G308" s="310">
        <v>44402</v>
      </c>
      <c r="H308" s="503">
        <f t="shared" si="8"/>
        <v>31</v>
      </c>
      <c r="I308" s="311">
        <v>27.1</v>
      </c>
      <c r="J308" s="311">
        <v>180</v>
      </c>
      <c r="K308" s="311">
        <f t="shared" si="10"/>
        <v>4878</v>
      </c>
      <c r="L308" s="310">
        <v>44378</v>
      </c>
      <c r="M308" s="428">
        <v>44403</v>
      </c>
      <c r="N308" s="314"/>
    </row>
    <row r="309" spans="1:14" ht="15" x14ac:dyDescent="0.25">
      <c r="A309" s="124" t="s">
        <v>3242</v>
      </c>
      <c r="B309" s="342" t="s">
        <v>2701</v>
      </c>
      <c r="C309" s="342" t="s">
        <v>589</v>
      </c>
      <c r="D309" s="313" t="s">
        <v>3243</v>
      </c>
      <c r="E309" s="313">
        <v>30</v>
      </c>
      <c r="F309" s="313" t="s">
        <v>1978</v>
      </c>
      <c r="G309" s="310">
        <v>44407</v>
      </c>
      <c r="H309" s="503">
        <f t="shared" si="8"/>
        <v>31</v>
      </c>
      <c r="I309" s="311">
        <v>30</v>
      </c>
      <c r="J309" s="311">
        <v>390</v>
      </c>
      <c r="K309" s="311">
        <v>11700</v>
      </c>
      <c r="L309" s="310">
        <v>44378</v>
      </c>
      <c r="M309" s="428">
        <v>44403</v>
      </c>
      <c r="N309" s="314"/>
    </row>
    <row r="310" spans="1:14" ht="15" x14ac:dyDescent="0.25">
      <c r="A310" s="124" t="s">
        <v>3244</v>
      </c>
      <c r="B310" s="342" t="s">
        <v>2701</v>
      </c>
      <c r="C310" s="342" t="s">
        <v>589</v>
      </c>
      <c r="D310" s="313" t="s">
        <v>3245</v>
      </c>
      <c r="E310" s="313">
        <v>30</v>
      </c>
      <c r="F310" s="313" t="s">
        <v>1978</v>
      </c>
      <c r="G310" s="310">
        <v>44407</v>
      </c>
      <c r="H310" s="503">
        <f t="shared" si="8"/>
        <v>31</v>
      </c>
      <c r="I310" s="311">
        <v>30</v>
      </c>
      <c r="J310" s="311">
        <v>390</v>
      </c>
      <c r="K310" s="311">
        <v>11700</v>
      </c>
      <c r="L310" s="310">
        <v>44378</v>
      </c>
      <c r="M310" s="428">
        <v>44403</v>
      </c>
      <c r="N310" s="314"/>
    </row>
    <row r="311" spans="1:14" ht="15" x14ac:dyDescent="0.25">
      <c r="A311" s="124" t="s">
        <v>3276</v>
      </c>
      <c r="B311" s="342" t="s">
        <v>2701</v>
      </c>
      <c r="C311" s="342" t="s">
        <v>589</v>
      </c>
      <c r="D311" s="313" t="s">
        <v>3294</v>
      </c>
      <c r="E311" s="313">
        <v>30</v>
      </c>
      <c r="F311" s="313" t="s">
        <v>1978</v>
      </c>
      <c r="G311" s="310">
        <v>44416</v>
      </c>
      <c r="H311" s="503">
        <f t="shared" si="8"/>
        <v>33</v>
      </c>
      <c r="I311" s="311">
        <v>30</v>
      </c>
      <c r="J311" s="311">
        <v>390</v>
      </c>
      <c r="K311" s="311">
        <v>11700</v>
      </c>
      <c r="L311" s="310">
        <v>44386</v>
      </c>
      <c r="M311" s="428">
        <v>44410</v>
      </c>
    </row>
    <row r="312" spans="1:14" x14ac:dyDescent="0.3">
      <c r="A312" s="124" t="s">
        <v>2185</v>
      </c>
      <c r="B312" s="124" t="s">
        <v>2061</v>
      </c>
      <c r="C312" s="124" t="s">
        <v>1511</v>
      </c>
      <c r="D312" s="125" t="s">
        <v>2294</v>
      </c>
      <c r="E312" s="125">
        <v>120</v>
      </c>
      <c r="F312" s="125" t="s">
        <v>1978</v>
      </c>
      <c r="G312" s="310">
        <v>44246</v>
      </c>
      <c r="H312" s="503">
        <f t="shared" si="8"/>
        <v>8</v>
      </c>
      <c r="I312" s="311">
        <v>18240</v>
      </c>
      <c r="J312" s="311">
        <v>2.5</v>
      </c>
      <c r="K312" s="311">
        <f t="shared" ref="K312:K328" si="11">+I312*J312</f>
        <v>45600</v>
      </c>
      <c r="L312" s="310">
        <v>44133</v>
      </c>
      <c r="M312" s="428">
        <v>44414</v>
      </c>
      <c r="N312" s="371"/>
    </row>
    <row r="313" spans="1:14" x14ac:dyDescent="0.3">
      <c r="A313" s="124" t="s">
        <v>2288</v>
      </c>
      <c r="B313" s="124" t="s">
        <v>2290</v>
      </c>
      <c r="C313" s="124" t="s">
        <v>1511</v>
      </c>
      <c r="D313" s="125" t="s">
        <v>2293</v>
      </c>
      <c r="E313" s="125">
        <v>120</v>
      </c>
      <c r="F313" s="125" t="s">
        <v>1978</v>
      </c>
      <c r="G313" s="310">
        <v>44246</v>
      </c>
      <c r="H313" s="503">
        <f t="shared" si="8"/>
        <v>8</v>
      </c>
      <c r="I313" s="311">
        <v>411</v>
      </c>
      <c r="J313" s="311">
        <v>8.15</v>
      </c>
      <c r="K313" s="311">
        <f t="shared" si="11"/>
        <v>3349.65</v>
      </c>
      <c r="L313" s="310">
        <v>44133</v>
      </c>
      <c r="M313" s="428">
        <v>44414</v>
      </c>
      <c r="N313" s="371"/>
    </row>
    <row r="314" spans="1:14" x14ac:dyDescent="0.3">
      <c r="A314" s="124" t="s">
        <v>2289</v>
      </c>
      <c r="B314" s="124" t="s">
        <v>2291</v>
      </c>
      <c r="C314" s="124" t="s">
        <v>1511</v>
      </c>
      <c r="D314" s="125" t="s">
        <v>2292</v>
      </c>
      <c r="E314" s="125">
        <v>120</v>
      </c>
      <c r="F314" s="125" t="s">
        <v>1978</v>
      </c>
      <c r="G314" s="310">
        <v>44246</v>
      </c>
      <c r="H314" s="503">
        <f t="shared" si="8"/>
        <v>8</v>
      </c>
      <c r="I314" s="311">
        <v>3663</v>
      </c>
      <c r="J314" s="311">
        <v>8.15</v>
      </c>
      <c r="K314" s="311">
        <f t="shared" si="11"/>
        <v>29853.45</v>
      </c>
      <c r="L314" s="310">
        <v>44133</v>
      </c>
      <c r="M314" s="428">
        <v>44414</v>
      </c>
      <c r="N314" s="371"/>
    </row>
    <row r="315" spans="1:14" s="129" customFormat="1" x14ac:dyDescent="0.3">
      <c r="A315" s="124" t="s">
        <v>2186</v>
      </c>
      <c r="B315" s="124" t="s">
        <v>2209</v>
      </c>
      <c r="C315" s="124" t="s">
        <v>1511</v>
      </c>
      <c r="D315" s="125" t="s">
        <v>2264</v>
      </c>
      <c r="E315" s="125">
        <v>120</v>
      </c>
      <c r="F315" s="125" t="s">
        <v>1978</v>
      </c>
      <c r="G315" s="310">
        <v>44246</v>
      </c>
      <c r="H315" s="503">
        <f t="shared" si="8"/>
        <v>8</v>
      </c>
      <c r="I315" s="311">
        <v>20</v>
      </c>
      <c r="J315" s="311">
        <v>4.26</v>
      </c>
      <c r="K315" s="311">
        <f t="shared" si="11"/>
        <v>85.199999999999989</v>
      </c>
      <c r="L315" s="310">
        <v>44127</v>
      </c>
      <c r="M315" s="428">
        <v>44414</v>
      </c>
      <c r="N315" s="371"/>
    </row>
    <row r="316" spans="1:14" x14ac:dyDescent="0.3">
      <c r="A316" s="124" t="s">
        <v>2187</v>
      </c>
      <c r="B316" s="124" t="s">
        <v>2209</v>
      </c>
      <c r="C316" s="124" t="s">
        <v>1511</v>
      </c>
      <c r="D316" s="125" t="s">
        <v>2265</v>
      </c>
      <c r="E316" s="125">
        <v>120</v>
      </c>
      <c r="F316" s="125" t="s">
        <v>1978</v>
      </c>
      <c r="G316" s="310">
        <v>44246</v>
      </c>
      <c r="H316" s="503">
        <f t="shared" si="8"/>
        <v>8</v>
      </c>
      <c r="I316" s="311">
        <v>110</v>
      </c>
      <c r="J316" s="311">
        <v>4.26</v>
      </c>
      <c r="K316" s="311">
        <f t="shared" si="11"/>
        <v>468.59999999999997</v>
      </c>
      <c r="L316" s="310">
        <v>44127</v>
      </c>
      <c r="M316" s="428">
        <v>44414</v>
      </c>
      <c r="N316" s="371"/>
    </row>
    <row r="317" spans="1:14" x14ac:dyDescent="0.3">
      <c r="A317" s="124" t="s">
        <v>2189</v>
      </c>
      <c r="B317" s="124" t="s">
        <v>2210</v>
      </c>
      <c r="C317" s="124" t="s">
        <v>1511</v>
      </c>
      <c r="D317" s="125" t="s">
        <v>2267</v>
      </c>
      <c r="E317" s="125">
        <v>120</v>
      </c>
      <c r="F317" s="125" t="s">
        <v>1978</v>
      </c>
      <c r="G317" s="310">
        <v>44246</v>
      </c>
      <c r="H317" s="503">
        <f t="shared" si="8"/>
        <v>8</v>
      </c>
      <c r="I317" s="311">
        <v>138</v>
      </c>
      <c r="J317" s="311">
        <v>7.43</v>
      </c>
      <c r="K317" s="311">
        <f t="shared" si="11"/>
        <v>1025.3399999999999</v>
      </c>
      <c r="L317" s="310">
        <v>44127</v>
      </c>
      <c r="M317" s="428">
        <v>44414</v>
      </c>
      <c r="N317" s="371"/>
    </row>
    <row r="318" spans="1:14" x14ac:dyDescent="0.3">
      <c r="A318" s="124" t="s">
        <v>2190</v>
      </c>
      <c r="B318" s="124" t="s">
        <v>2210</v>
      </c>
      <c r="C318" s="124" t="s">
        <v>1511</v>
      </c>
      <c r="D318" s="125" t="s">
        <v>2268</v>
      </c>
      <c r="E318" s="125">
        <v>210</v>
      </c>
      <c r="F318" s="125" t="s">
        <v>1978</v>
      </c>
      <c r="G318" s="310">
        <v>44336</v>
      </c>
      <c r="H318" s="503">
        <f t="shared" si="8"/>
        <v>21</v>
      </c>
      <c r="I318" s="311">
        <v>112</v>
      </c>
      <c r="J318" s="311">
        <v>7.43</v>
      </c>
      <c r="K318" s="311">
        <f t="shared" si="11"/>
        <v>832.16</v>
      </c>
      <c r="L318" s="310">
        <v>44127</v>
      </c>
      <c r="M318" s="428">
        <v>44414</v>
      </c>
      <c r="N318" s="371"/>
    </row>
    <row r="319" spans="1:14" x14ac:dyDescent="0.3">
      <c r="A319" s="124" t="s">
        <v>2191</v>
      </c>
      <c r="B319" s="124" t="s">
        <v>2210</v>
      </c>
      <c r="C319" s="124" t="s">
        <v>1511</v>
      </c>
      <c r="D319" s="125" t="s">
        <v>2269</v>
      </c>
      <c r="E319" s="125">
        <v>210</v>
      </c>
      <c r="F319" s="125" t="s">
        <v>1978</v>
      </c>
      <c r="G319" s="310">
        <v>44336</v>
      </c>
      <c r="H319" s="503">
        <f t="shared" si="8"/>
        <v>21</v>
      </c>
      <c r="I319" s="311">
        <v>178</v>
      </c>
      <c r="J319" s="311">
        <v>7.43</v>
      </c>
      <c r="K319" s="311">
        <f t="shared" si="11"/>
        <v>1322.54</v>
      </c>
      <c r="L319" s="310">
        <v>44127</v>
      </c>
      <c r="M319" s="428">
        <v>44414</v>
      </c>
      <c r="N319" s="371"/>
    </row>
    <row r="320" spans="1:14" x14ac:dyDescent="0.3">
      <c r="A320" s="124" t="s">
        <v>2194</v>
      </c>
      <c r="B320" s="124" t="s">
        <v>2211</v>
      </c>
      <c r="C320" s="124" t="s">
        <v>1511</v>
      </c>
      <c r="D320" s="125" t="s">
        <v>2272</v>
      </c>
      <c r="E320" s="125">
        <v>210</v>
      </c>
      <c r="F320" s="125" t="s">
        <v>1978</v>
      </c>
      <c r="G320" s="310">
        <v>44336</v>
      </c>
      <c r="H320" s="503">
        <f t="shared" si="8"/>
        <v>21</v>
      </c>
      <c r="I320" s="311">
        <v>2115</v>
      </c>
      <c r="J320" s="311">
        <v>7</v>
      </c>
      <c r="K320" s="311">
        <f t="shared" si="11"/>
        <v>14805</v>
      </c>
      <c r="L320" s="310">
        <v>44127</v>
      </c>
      <c r="M320" s="560">
        <v>44414</v>
      </c>
      <c r="N320" s="371"/>
    </row>
    <row r="321" spans="1:14" x14ac:dyDescent="0.3">
      <c r="A321" s="124" t="s">
        <v>2194</v>
      </c>
      <c r="B321" s="124" t="s">
        <v>2211</v>
      </c>
      <c r="C321" s="124" t="s">
        <v>1511</v>
      </c>
      <c r="D321" s="125" t="s">
        <v>3238</v>
      </c>
      <c r="E321" s="125"/>
      <c r="F321" s="125"/>
      <c r="G321" s="310">
        <v>44273</v>
      </c>
      <c r="H321" s="503">
        <f t="shared" si="8"/>
        <v>12</v>
      </c>
      <c r="I321" s="311">
        <v>-11.74</v>
      </c>
      <c r="J321" s="311">
        <v>8.2563884156729106</v>
      </c>
      <c r="K321" s="311">
        <f t="shared" si="11"/>
        <v>-96.929999999999978</v>
      </c>
      <c r="L321" s="310">
        <v>44274</v>
      </c>
      <c r="M321" s="561"/>
      <c r="N321" s="371"/>
    </row>
    <row r="322" spans="1:14" x14ac:dyDescent="0.3">
      <c r="A322" s="124" t="s">
        <v>2196</v>
      </c>
      <c r="B322" s="124" t="s">
        <v>2212</v>
      </c>
      <c r="C322" s="124" t="s">
        <v>1511</v>
      </c>
      <c r="D322" s="125" t="s">
        <v>2274</v>
      </c>
      <c r="E322" s="125">
        <v>210</v>
      </c>
      <c r="F322" s="125" t="s">
        <v>1978</v>
      </c>
      <c r="G322" s="310">
        <v>44336</v>
      </c>
      <c r="H322" s="503">
        <f t="shared" ref="H322:H385" si="12">WEEKNUM(G322)</f>
        <v>21</v>
      </c>
      <c r="I322" s="311">
        <v>1400</v>
      </c>
      <c r="J322" s="311">
        <v>5.81</v>
      </c>
      <c r="K322" s="311">
        <f t="shared" si="11"/>
        <v>8133.9999999999991</v>
      </c>
      <c r="L322" s="310">
        <v>44127</v>
      </c>
      <c r="M322" s="560">
        <v>44414</v>
      </c>
      <c r="N322" s="371"/>
    </row>
    <row r="323" spans="1:14" x14ac:dyDescent="0.3">
      <c r="A323" s="124" t="s">
        <v>2196</v>
      </c>
      <c r="B323" s="124" t="s">
        <v>2212</v>
      </c>
      <c r="C323" s="124" t="s">
        <v>1511</v>
      </c>
      <c r="D323" s="125" t="s">
        <v>3239</v>
      </c>
      <c r="E323" s="125"/>
      <c r="F323" s="125"/>
      <c r="G323" s="310">
        <v>44494</v>
      </c>
      <c r="H323" s="503">
        <f t="shared" si="12"/>
        <v>44</v>
      </c>
      <c r="I323" s="311">
        <v>-4.29</v>
      </c>
      <c r="J323" s="311">
        <v>6.86013986013986</v>
      </c>
      <c r="K323" s="311">
        <f t="shared" si="11"/>
        <v>-29.43</v>
      </c>
      <c r="L323" s="310">
        <v>44287</v>
      </c>
      <c r="M323" s="561"/>
      <c r="N323" s="371"/>
    </row>
    <row r="324" spans="1:14" x14ac:dyDescent="0.3">
      <c r="A324" s="124" t="s">
        <v>2197</v>
      </c>
      <c r="B324" s="124" t="s">
        <v>2212</v>
      </c>
      <c r="C324" s="124" t="s">
        <v>1511</v>
      </c>
      <c r="D324" s="125" t="s">
        <v>2275</v>
      </c>
      <c r="E324" s="125">
        <v>210</v>
      </c>
      <c r="F324" s="125" t="s">
        <v>1978</v>
      </c>
      <c r="G324" s="310">
        <v>44336</v>
      </c>
      <c r="H324" s="503">
        <f t="shared" si="12"/>
        <v>21</v>
      </c>
      <c r="I324" s="311">
        <v>45</v>
      </c>
      <c r="J324" s="311">
        <v>5.81</v>
      </c>
      <c r="K324" s="311">
        <f t="shared" si="11"/>
        <v>261.45</v>
      </c>
      <c r="L324" s="310">
        <v>44127</v>
      </c>
      <c r="M324" s="428">
        <v>44414</v>
      </c>
      <c r="N324" s="371"/>
    </row>
    <row r="325" spans="1:14" x14ac:dyDescent="0.3">
      <c r="A325" s="124" t="s">
        <v>2198</v>
      </c>
      <c r="B325" s="124" t="s">
        <v>2212</v>
      </c>
      <c r="C325" s="124" t="s">
        <v>1511</v>
      </c>
      <c r="D325" s="125" t="s">
        <v>2276</v>
      </c>
      <c r="E325" s="125">
        <v>210</v>
      </c>
      <c r="F325" s="125" t="s">
        <v>1978</v>
      </c>
      <c r="G325" s="310">
        <v>44336</v>
      </c>
      <c r="H325" s="503">
        <f t="shared" si="12"/>
        <v>21</v>
      </c>
      <c r="I325" s="311">
        <v>8996</v>
      </c>
      <c r="J325" s="311">
        <v>5.81</v>
      </c>
      <c r="K325" s="311">
        <f t="shared" si="11"/>
        <v>52266.759999999995</v>
      </c>
      <c r="L325" s="310">
        <v>44127</v>
      </c>
      <c r="M325" s="428">
        <v>44414</v>
      </c>
      <c r="N325" s="371"/>
    </row>
    <row r="326" spans="1:14" ht="15" x14ac:dyDescent="0.25">
      <c r="A326" s="124" t="s">
        <v>3306</v>
      </c>
      <c r="B326" s="342" t="s">
        <v>504</v>
      </c>
      <c r="C326" s="342" t="s">
        <v>1836</v>
      </c>
      <c r="D326" s="313" t="s">
        <v>3308</v>
      </c>
      <c r="E326" s="313">
        <v>30</v>
      </c>
      <c r="F326" s="313" t="s">
        <v>1978</v>
      </c>
      <c r="G326" s="310">
        <v>44426</v>
      </c>
      <c r="H326" s="503">
        <f t="shared" si="12"/>
        <v>34</v>
      </c>
      <c r="I326" s="311">
        <v>30</v>
      </c>
      <c r="J326" s="311">
        <v>2650</v>
      </c>
      <c r="K326" s="311">
        <f t="shared" si="11"/>
        <v>79500</v>
      </c>
      <c r="L326" s="310">
        <v>44399</v>
      </c>
      <c r="M326" s="428">
        <v>44426</v>
      </c>
      <c r="N326" s="371"/>
    </row>
    <row r="327" spans="1:14" ht="15" x14ac:dyDescent="0.25">
      <c r="A327" s="124" t="s">
        <v>3296</v>
      </c>
      <c r="B327" s="342" t="s">
        <v>504</v>
      </c>
      <c r="C327" s="342" t="s">
        <v>1836</v>
      </c>
      <c r="D327" s="313" t="s">
        <v>3302</v>
      </c>
      <c r="E327" s="313">
        <v>30</v>
      </c>
      <c r="F327" s="313" t="s">
        <v>1978</v>
      </c>
      <c r="G327" s="310">
        <v>44428</v>
      </c>
      <c r="H327" s="503">
        <f t="shared" si="12"/>
        <v>34</v>
      </c>
      <c r="I327" s="311">
        <v>30</v>
      </c>
      <c r="J327" s="311">
        <v>2650</v>
      </c>
      <c r="K327" s="311">
        <f t="shared" si="11"/>
        <v>79500</v>
      </c>
      <c r="L327" s="310">
        <v>44417</v>
      </c>
      <c r="M327" s="428">
        <v>44426</v>
      </c>
      <c r="N327" s="371"/>
    </row>
    <row r="328" spans="1:14" x14ac:dyDescent="0.3">
      <c r="A328" s="124" t="s">
        <v>3299</v>
      </c>
      <c r="B328" s="342" t="s">
        <v>2663</v>
      </c>
      <c r="C328" s="342" t="s">
        <v>3131</v>
      </c>
      <c r="D328" s="313" t="s">
        <v>3341</v>
      </c>
      <c r="E328" s="313">
        <v>30</v>
      </c>
      <c r="F328" s="313" t="s">
        <v>1978</v>
      </c>
      <c r="G328" s="310">
        <v>44428</v>
      </c>
      <c r="H328" s="503">
        <f t="shared" si="12"/>
        <v>34</v>
      </c>
      <c r="I328" s="311">
        <v>20</v>
      </c>
      <c r="J328" s="311">
        <v>742</v>
      </c>
      <c r="K328" s="311">
        <f t="shared" si="11"/>
        <v>14840</v>
      </c>
      <c r="L328" s="310">
        <v>44399</v>
      </c>
      <c r="M328" s="428">
        <v>44426</v>
      </c>
      <c r="N328" s="371"/>
    </row>
    <row r="329" spans="1:14" x14ac:dyDescent="0.3">
      <c r="A329" s="425" t="s">
        <v>3304</v>
      </c>
      <c r="B329" s="426" t="s">
        <v>3305</v>
      </c>
      <c r="C329" s="426" t="s">
        <v>1511</v>
      </c>
      <c r="D329" s="313" t="s">
        <v>3421</v>
      </c>
      <c r="E329" s="422" t="s">
        <v>5</v>
      </c>
      <c r="F329" s="422"/>
      <c r="G329" s="310">
        <v>44429</v>
      </c>
      <c r="H329" s="503">
        <f t="shared" si="12"/>
        <v>34</v>
      </c>
      <c r="I329" s="431" t="s">
        <v>3370</v>
      </c>
      <c r="J329" s="311">
        <v>8.4</v>
      </c>
      <c r="K329" s="311">
        <f>1040*J329</f>
        <v>8736</v>
      </c>
      <c r="L329" s="310">
        <v>44427</v>
      </c>
      <c r="M329" s="428">
        <v>44427</v>
      </c>
      <c r="N329" s="371"/>
    </row>
    <row r="330" spans="1:14" ht="15" x14ac:dyDescent="0.25">
      <c r="A330" s="425" t="s">
        <v>3371</v>
      </c>
      <c r="B330" s="342" t="s">
        <v>3377</v>
      </c>
      <c r="C330" s="426" t="s">
        <v>1842</v>
      </c>
      <c r="D330" s="313" t="s">
        <v>3378</v>
      </c>
      <c r="E330" s="422">
        <v>15</v>
      </c>
      <c r="F330" s="422" t="s">
        <v>1978</v>
      </c>
      <c r="G330" s="310">
        <v>44433</v>
      </c>
      <c r="H330" s="503">
        <f t="shared" si="12"/>
        <v>35</v>
      </c>
      <c r="I330" s="311">
        <v>300</v>
      </c>
      <c r="J330" s="311">
        <v>500</v>
      </c>
      <c r="K330" s="311">
        <f>+I330*J330</f>
        <v>150000</v>
      </c>
      <c r="L330" s="310">
        <v>44418</v>
      </c>
      <c r="M330" s="428">
        <v>44433</v>
      </c>
      <c r="N330" s="371"/>
    </row>
    <row r="331" spans="1:14" ht="15" x14ac:dyDescent="0.25">
      <c r="A331" s="425" t="s">
        <v>3372</v>
      </c>
      <c r="B331" s="342" t="s">
        <v>3377</v>
      </c>
      <c r="C331" s="426" t="s">
        <v>1842</v>
      </c>
      <c r="D331" s="313" t="s">
        <v>3379</v>
      </c>
      <c r="E331" s="422">
        <v>15</v>
      </c>
      <c r="F331" s="422" t="s">
        <v>1978</v>
      </c>
      <c r="G331" s="310">
        <v>44433</v>
      </c>
      <c r="H331" s="503">
        <f t="shared" si="12"/>
        <v>35</v>
      </c>
      <c r="I331" s="311">
        <v>700</v>
      </c>
      <c r="J331" s="311">
        <v>500</v>
      </c>
      <c r="K331" s="311">
        <f>+I331*J331</f>
        <v>350000</v>
      </c>
      <c r="L331" s="310">
        <v>44418</v>
      </c>
      <c r="M331" s="428">
        <v>44433</v>
      </c>
      <c r="N331" s="371"/>
    </row>
    <row r="332" spans="1:14" ht="15" x14ac:dyDescent="0.25">
      <c r="A332" s="425" t="s">
        <v>3373</v>
      </c>
      <c r="B332" s="342" t="s">
        <v>3377</v>
      </c>
      <c r="C332" s="426" t="s">
        <v>1842</v>
      </c>
      <c r="D332" s="313" t="s">
        <v>3380</v>
      </c>
      <c r="E332" s="422">
        <v>15</v>
      </c>
      <c r="F332" s="422" t="s">
        <v>1978</v>
      </c>
      <c r="G332" s="310">
        <v>44433</v>
      </c>
      <c r="H332" s="503">
        <f t="shared" si="12"/>
        <v>35</v>
      </c>
      <c r="I332" s="311">
        <v>900</v>
      </c>
      <c r="J332" s="311">
        <v>500</v>
      </c>
      <c r="K332" s="311">
        <f>+I332*J332</f>
        <v>450000</v>
      </c>
      <c r="L332" s="310">
        <v>44418</v>
      </c>
      <c r="M332" s="428">
        <v>44433</v>
      </c>
      <c r="N332" s="371"/>
    </row>
    <row r="333" spans="1:14" ht="15" x14ac:dyDescent="0.25">
      <c r="A333" s="425" t="s">
        <v>3374</v>
      </c>
      <c r="B333" s="342" t="s">
        <v>3377</v>
      </c>
      <c r="C333" s="426" t="s">
        <v>1842</v>
      </c>
      <c r="D333" s="313" t="s">
        <v>3381</v>
      </c>
      <c r="E333" s="422">
        <v>15</v>
      </c>
      <c r="F333" s="422" t="s">
        <v>1978</v>
      </c>
      <c r="G333" s="310">
        <v>44433</v>
      </c>
      <c r="H333" s="503">
        <f t="shared" si="12"/>
        <v>35</v>
      </c>
      <c r="I333" s="311">
        <v>150</v>
      </c>
      <c r="J333" s="311">
        <v>500</v>
      </c>
      <c r="K333" s="311">
        <f>+I333*J333</f>
        <v>75000</v>
      </c>
      <c r="L333" s="310">
        <v>44418</v>
      </c>
      <c r="M333" s="428">
        <v>44433</v>
      </c>
      <c r="N333" s="371"/>
    </row>
    <row r="334" spans="1:14" ht="15" x14ac:dyDescent="0.25">
      <c r="A334" s="425" t="s">
        <v>3375</v>
      </c>
      <c r="B334" s="342" t="s">
        <v>3377</v>
      </c>
      <c r="C334" s="426" t="s">
        <v>1842</v>
      </c>
      <c r="D334" s="313" t="s">
        <v>3390</v>
      </c>
      <c r="E334" s="422">
        <v>15</v>
      </c>
      <c r="F334" s="422" t="s">
        <v>1978</v>
      </c>
      <c r="G334" s="310">
        <v>44435</v>
      </c>
      <c r="H334" s="503">
        <f t="shared" si="12"/>
        <v>35</v>
      </c>
      <c r="I334" s="311">
        <v>500</v>
      </c>
      <c r="J334" s="311">
        <v>500</v>
      </c>
      <c r="K334" s="311">
        <f>+I334*J334</f>
        <v>250000</v>
      </c>
      <c r="L334" s="310">
        <v>44420</v>
      </c>
      <c r="M334" s="428">
        <v>44433</v>
      </c>
      <c r="N334" s="371"/>
    </row>
    <row r="335" spans="1:14" x14ac:dyDescent="0.3">
      <c r="A335" s="425" t="s">
        <v>3304</v>
      </c>
      <c r="B335" s="426" t="s">
        <v>3305</v>
      </c>
      <c r="C335" s="426" t="s">
        <v>1511</v>
      </c>
      <c r="D335" s="313" t="s">
        <v>3421</v>
      </c>
      <c r="E335" s="422" t="s">
        <v>5</v>
      </c>
      <c r="F335" s="422"/>
      <c r="G335" s="310">
        <v>44429</v>
      </c>
      <c r="H335" s="503">
        <f t="shared" si="12"/>
        <v>34</v>
      </c>
      <c r="I335" s="431" t="s">
        <v>3370</v>
      </c>
      <c r="J335" s="311">
        <v>8.4</v>
      </c>
      <c r="K335" s="311">
        <f>1040*J335</f>
        <v>8736</v>
      </c>
      <c r="L335" s="310">
        <v>44427</v>
      </c>
      <c r="M335" s="428">
        <v>44427</v>
      </c>
      <c r="N335" s="371"/>
    </row>
    <row r="336" spans="1:14" ht="15" x14ac:dyDescent="0.25">
      <c r="A336" s="124" t="s">
        <v>3338</v>
      </c>
      <c r="B336" s="342" t="s">
        <v>2030</v>
      </c>
      <c r="C336" s="342" t="s">
        <v>589</v>
      </c>
      <c r="D336" s="313" t="s">
        <v>3340</v>
      </c>
      <c r="E336" s="313">
        <v>30</v>
      </c>
      <c r="F336" s="313" t="s">
        <v>1978</v>
      </c>
      <c r="G336" s="310">
        <v>44433</v>
      </c>
      <c r="H336" s="503">
        <f t="shared" si="12"/>
        <v>35</v>
      </c>
      <c r="I336" s="311">
        <v>30</v>
      </c>
      <c r="J336" s="311">
        <v>650</v>
      </c>
      <c r="K336" s="311">
        <f>+J336*I336</f>
        <v>19500</v>
      </c>
      <c r="L336" s="310">
        <v>44404</v>
      </c>
      <c r="M336" s="428">
        <v>44426</v>
      </c>
      <c r="N336" s="371"/>
    </row>
    <row r="337" spans="1:14" ht="15" x14ac:dyDescent="0.25">
      <c r="A337" s="124" t="s">
        <v>3307</v>
      </c>
      <c r="B337" s="342" t="s">
        <v>504</v>
      </c>
      <c r="C337" s="342" t="s">
        <v>1836</v>
      </c>
      <c r="D337" s="313" t="s">
        <v>3385</v>
      </c>
      <c r="E337" s="313">
        <v>30</v>
      </c>
      <c r="F337" s="313" t="s">
        <v>1978</v>
      </c>
      <c r="G337" s="310">
        <v>44441</v>
      </c>
      <c r="H337" s="503">
        <f t="shared" si="12"/>
        <v>36</v>
      </c>
      <c r="I337" s="311">
        <v>30</v>
      </c>
      <c r="J337" s="311">
        <v>2650</v>
      </c>
      <c r="K337" s="311">
        <f>+I337*J337</f>
        <v>79500</v>
      </c>
      <c r="L337" s="310">
        <v>44411</v>
      </c>
      <c r="M337" s="428">
        <v>44440</v>
      </c>
      <c r="N337" s="371"/>
    </row>
    <row r="338" spans="1:14" ht="15" x14ac:dyDescent="0.25">
      <c r="A338" s="124" t="s">
        <v>3298</v>
      </c>
      <c r="B338" s="342" t="s">
        <v>2030</v>
      </c>
      <c r="C338" s="342" t="s">
        <v>589</v>
      </c>
      <c r="D338" s="313" t="s">
        <v>3419</v>
      </c>
      <c r="E338" s="313">
        <v>30</v>
      </c>
      <c r="F338" s="313" t="s">
        <v>1978</v>
      </c>
      <c r="G338" s="310">
        <v>44454</v>
      </c>
      <c r="H338" s="503">
        <f t="shared" si="12"/>
        <v>38</v>
      </c>
      <c r="I338" s="311">
        <v>30</v>
      </c>
      <c r="J338" s="311">
        <v>650</v>
      </c>
      <c r="K338" s="311">
        <f>+J338*I338</f>
        <v>19500</v>
      </c>
      <c r="L338" s="310">
        <v>44424</v>
      </c>
      <c r="M338" s="428">
        <v>44447</v>
      </c>
      <c r="N338" s="371"/>
    </row>
    <row r="339" spans="1:14" ht="15" x14ac:dyDescent="0.25">
      <c r="A339" s="425" t="s">
        <v>3388</v>
      </c>
      <c r="B339" s="342" t="s">
        <v>504</v>
      </c>
      <c r="C339" s="426" t="s">
        <v>1836</v>
      </c>
      <c r="D339" s="313" t="s">
        <v>3387</v>
      </c>
      <c r="E339" s="422">
        <v>30</v>
      </c>
      <c r="F339" s="422" t="s">
        <v>1978</v>
      </c>
      <c r="G339" s="310">
        <v>44449</v>
      </c>
      <c r="H339" s="503">
        <f t="shared" si="12"/>
        <v>37</v>
      </c>
      <c r="I339" s="311">
        <v>30</v>
      </c>
      <c r="J339" s="311">
        <v>2650</v>
      </c>
      <c r="K339" s="311">
        <f>+I339*J339</f>
        <v>79500</v>
      </c>
      <c r="L339" s="310">
        <v>44419</v>
      </c>
      <c r="M339" s="428">
        <v>44447</v>
      </c>
      <c r="N339" s="371"/>
    </row>
    <row r="340" spans="1:14" ht="15" x14ac:dyDescent="0.25">
      <c r="A340" s="425" t="s">
        <v>3389</v>
      </c>
      <c r="B340" s="342" t="s">
        <v>504</v>
      </c>
      <c r="C340" s="426" t="s">
        <v>1836</v>
      </c>
      <c r="D340" s="313" t="s">
        <v>3418</v>
      </c>
      <c r="E340" s="422">
        <v>30</v>
      </c>
      <c r="F340" s="422" t="s">
        <v>1978</v>
      </c>
      <c r="G340" s="310">
        <v>44451</v>
      </c>
      <c r="H340" s="503">
        <f t="shared" si="12"/>
        <v>38</v>
      </c>
      <c r="I340" s="311">
        <v>30</v>
      </c>
      <c r="J340" s="311">
        <v>2650</v>
      </c>
      <c r="K340" s="311">
        <f>+I340*J340</f>
        <v>79500</v>
      </c>
      <c r="L340" s="310">
        <v>44423</v>
      </c>
      <c r="M340" s="428">
        <v>44447</v>
      </c>
      <c r="N340" s="371"/>
    </row>
    <row r="341" spans="1:14" x14ac:dyDescent="0.3">
      <c r="A341" s="425" t="s">
        <v>3444</v>
      </c>
      <c r="B341" s="342" t="s">
        <v>2051</v>
      </c>
      <c r="C341" s="426" t="s">
        <v>2431</v>
      </c>
      <c r="D341" s="313" t="s">
        <v>3445</v>
      </c>
      <c r="E341" s="422">
        <v>30</v>
      </c>
      <c r="F341" s="422" t="s">
        <v>509</v>
      </c>
      <c r="G341" s="441">
        <v>44458</v>
      </c>
      <c r="H341" s="503">
        <f t="shared" si="12"/>
        <v>39</v>
      </c>
      <c r="I341" s="311">
        <v>120</v>
      </c>
      <c r="J341" s="311">
        <v>740</v>
      </c>
      <c r="K341" s="311">
        <f>+I341*J341</f>
        <v>88800</v>
      </c>
      <c r="L341" s="310">
        <v>44430</v>
      </c>
      <c r="M341" s="428">
        <v>44454</v>
      </c>
      <c r="N341" s="371"/>
    </row>
    <row r="342" spans="1:14" ht="15" x14ac:dyDescent="0.25">
      <c r="A342" s="124" t="s">
        <v>3339</v>
      </c>
      <c r="B342" s="342" t="s">
        <v>2030</v>
      </c>
      <c r="C342" s="342" t="s">
        <v>589</v>
      </c>
      <c r="D342" s="313" t="s">
        <v>3369</v>
      </c>
      <c r="E342" s="313">
        <v>30</v>
      </c>
      <c r="F342" s="313" t="s">
        <v>1978</v>
      </c>
      <c r="G342" s="310">
        <v>44443</v>
      </c>
      <c r="H342" s="503">
        <f t="shared" si="12"/>
        <v>36</v>
      </c>
      <c r="I342" s="311">
        <v>30</v>
      </c>
      <c r="J342" s="311">
        <v>650</v>
      </c>
      <c r="K342" s="311">
        <f>+J342*I342</f>
        <v>19500</v>
      </c>
      <c r="L342" s="310">
        <v>44413</v>
      </c>
      <c r="M342" s="428">
        <v>44434</v>
      </c>
      <c r="N342" s="371"/>
    </row>
    <row r="343" spans="1:14" x14ac:dyDescent="0.3">
      <c r="A343" s="425" t="s">
        <v>3446</v>
      </c>
      <c r="B343" s="342" t="s">
        <v>2663</v>
      </c>
      <c r="C343" s="426" t="s">
        <v>589</v>
      </c>
      <c r="D343" s="313" t="s">
        <v>3464</v>
      </c>
      <c r="E343" s="422">
        <v>30</v>
      </c>
      <c r="F343" s="422" t="s">
        <v>509</v>
      </c>
      <c r="G343" s="441">
        <v>44465</v>
      </c>
      <c r="H343" s="503">
        <f t="shared" si="12"/>
        <v>40</v>
      </c>
      <c r="I343" s="311">
        <v>30</v>
      </c>
      <c r="J343" s="311">
        <v>730</v>
      </c>
      <c r="K343" s="311">
        <f>+I343*J343</f>
        <v>21900</v>
      </c>
      <c r="L343" s="310">
        <v>44440</v>
      </c>
      <c r="M343" s="428">
        <v>44460</v>
      </c>
      <c r="N343" s="371"/>
    </row>
    <row r="344" spans="1:14" x14ac:dyDescent="0.3">
      <c r="A344" s="425" t="s">
        <v>3494</v>
      </c>
      <c r="B344" s="342" t="s">
        <v>3495</v>
      </c>
      <c r="C344" s="426" t="s">
        <v>1842</v>
      </c>
      <c r="D344" s="313" t="s">
        <v>3524</v>
      </c>
      <c r="E344" s="422">
        <v>15</v>
      </c>
      <c r="F344" s="422" t="s">
        <v>1978</v>
      </c>
      <c r="G344" s="441">
        <v>44464</v>
      </c>
      <c r="H344" s="503">
        <f t="shared" si="12"/>
        <v>39</v>
      </c>
      <c r="I344" s="311">
        <v>120</v>
      </c>
      <c r="J344" s="311">
        <v>640</v>
      </c>
      <c r="K344" s="311">
        <f t="shared" ref="K344:K353" si="13">+J344*I344</f>
        <v>76800</v>
      </c>
      <c r="L344" s="310">
        <v>44452</v>
      </c>
      <c r="M344" s="428">
        <v>44461</v>
      </c>
      <c r="N344" s="314"/>
    </row>
    <row r="345" spans="1:14" ht="15" x14ac:dyDescent="0.25">
      <c r="A345" s="425" t="s">
        <v>3344</v>
      </c>
      <c r="B345" s="426" t="s">
        <v>3219</v>
      </c>
      <c r="C345" s="426" t="s">
        <v>506</v>
      </c>
      <c r="D345" s="313" t="s">
        <v>3386</v>
      </c>
      <c r="E345" s="422">
        <v>45</v>
      </c>
      <c r="F345" s="422" t="s">
        <v>1978</v>
      </c>
      <c r="G345" s="310">
        <v>44462</v>
      </c>
      <c r="H345" s="503">
        <f t="shared" si="12"/>
        <v>39</v>
      </c>
      <c r="I345" s="311">
        <v>30</v>
      </c>
      <c r="J345" s="311">
        <v>775</v>
      </c>
      <c r="K345" s="311">
        <f t="shared" si="13"/>
        <v>23250</v>
      </c>
      <c r="L345" s="310">
        <v>44418</v>
      </c>
      <c r="M345" s="428">
        <v>44461</v>
      </c>
      <c r="N345" s="314"/>
    </row>
    <row r="346" spans="1:14" ht="15" x14ac:dyDescent="0.25">
      <c r="A346" s="425" t="s">
        <v>3415</v>
      </c>
      <c r="B346" s="426" t="s">
        <v>3219</v>
      </c>
      <c r="C346" s="426" t="s">
        <v>506</v>
      </c>
      <c r="D346" s="313" t="s">
        <v>3417</v>
      </c>
      <c r="E346" s="422">
        <v>45</v>
      </c>
      <c r="F346" s="422" t="s">
        <v>1978</v>
      </c>
      <c r="G346" s="310">
        <v>44462</v>
      </c>
      <c r="H346" s="503">
        <f t="shared" si="12"/>
        <v>39</v>
      </c>
      <c r="I346" s="311">
        <v>30</v>
      </c>
      <c r="J346" s="311">
        <v>775</v>
      </c>
      <c r="K346" s="311">
        <f t="shared" si="13"/>
        <v>23250</v>
      </c>
      <c r="L346" s="310">
        <v>44418</v>
      </c>
      <c r="M346" s="428">
        <v>44461</v>
      </c>
      <c r="N346" s="314"/>
    </row>
    <row r="347" spans="1:14" ht="15" x14ac:dyDescent="0.25">
      <c r="A347" s="425" t="s">
        <v>3367</v>
      </c>
      <c r="B347" s="426" t="s">
        <v>3219</v>
      </c>
      <c r="C347" s="426" t="s">
        <v>506</v>
      </c>
      <c r="D347" s="313" t="s">
        <v>3525</v>
      </c>
      <c r="E347" s="422" t="s">
        <v>3516</v>
      </c>
      <c r="F347" s="422" t="s">
        <v>1978</v>
      </c>
      <c r="G347" s="310">
        <v>44457</v>
      </c>
      <c r="H347" s="503">
        <f t="shared" si="12"/>
        <v>38</v>
      </c>
      <c r="I347" s="311">
        <v>60</v>
      </c>
      <c r="J347" s="311">
        <v>775</v>
      </c>
      <c r="K347" s="311">
        <f t="shared" si="13"/>
        <v>46500</v>
      </c>
      <c r="L347" s="310">
        <v>44414</v>
      </c>
      <c r="M347" s="428">
        <v>44461</v>
      </c>
      <c r="N347" s="314"/>
    </row>
    <row r="348" spans="1:14" ht="15" x14ac:dyDescent="0.25">
      <c r="A348" s="425" t="s">
        <v>3526</v>
      </c>
      <c r="B348" s="342" t="s">
        <v>3527</v>
      </c>
      <c r="C348" s="426" t="s">
        <v>3528</v>
      </c>
      <c r="D348" s="313" t="s">
        <v>3529</v>
      </c>
      <c r="E348" s="449" t="s">
        <v>5</v>
      </c>
      <c r="F348" s="449"/>
      <c r="G348" s="450"/>
      <c r="H348" s="503">
        <f t="shared" si="12"/>
        <v>0</v>
      </c>
      <c r="I348" s="311">
        <v>7.02</v>
      </c>
      <c r="J348" s="451">
        <v>280</v>
      </c>
      <c r="K348" s="451">
        <f t="shared" si="13"/>
        <v>1965.6</v>
      </c>
      <c r="L348" s="310">
        <v>44454</v>
      </c>
      <c r="M348" s="428">
        <v>44455</v>
      </c>
      <c r="N348" s="314"/>
    </row>
    <row r="349" spans="1:14" ht="15" x14ac:dyDescent="0.25">
      <c r="A349" s="425" t="s">
        <v>3367</v>
      </c>
      <c r="B349" s="426" t="s">
        <v>3219</v>
      </c>
      <c r="C349" s="426" t="s">
        <v>506</v>
      </c>
      <c r="D349" s="313" t="s">
        <v>3783</v>
      </c>
      <c r="E349" s="422" t="s">
        <v>3516</v>
      </c>
      <c r="F349" s="422" t="s">
        <v>1978</v>
      </c>
      <c r="G349" s="310">
        <v>44442</v>
      </c>
      <c r="H349" s="503">
        <f t="shared" si="12"/>
        <v>36</v>
      </c>
      <c r="I349" s="311">
        <v>60</v>
      </c>
      <c r="J349" s="311">
        <v>775</v>
      </c>
      <c r="K349" s="311">
        <f t="shared" si="13"/>
        <v>46500</v>
      </c>
      <c r="L349" s="310">
        <v>44414</v>
      </c>
      <c r="M349" s="313" t="s">
        <v>3569</v>
      </c>
      <c r="N349" s="314"/>
    </row>
    <row r="350" spans="1:14" ht="15" x14ac:dyDescent="0.25">
      <c r="A350" s="425" t="s">
        <v>3488</v>
      </c>
      <c r="B350" s="342" t="s">
        <v>504</v>
      </c>
      <c r="C350" s="426" t="s">
        <v>1836</v>
      </c>
      <c r="D350" s="313" t="s">
        <v>3496</v>
      </c>
      <c r="E350" s="422">
        <v>30</v>
      </c>
      <c r="F350" s="422" t="s">
        <v>1978</v>
      </c>
      <c r="G350" s="441">
        <v>44472</v>
      </c>
      <c r="H350" s="503">
        <f t="shared" si="12"/>
        <v>41</v>
      </c>
      <c r="I350" s="311">
        <v>30</v>
      </c>
      <c r="J350" s="311">
        <v>2630</v>
      </c>
      <c r="K350" s="311">
        <f t="shared" si="13"/>
        <v>78900</v>
      </c>
      <c r="L350" s="310">
        <v>44445</v>
      </c>
      <c r="M350" s="428">
        <v>44467</v>
      </c>
      <c r="N350" s="314"/>
    </row>
    <row r="351" spans="1:14" ht="15" x14ac:dyDescent="0.25">
      <c r="A351" s="425" t="s">
        <v>3492</v>
      </c>
      <c r="B351" s="342" t="s">
        <v>2030</v>
      </c>
      <c r="C351" s="426" t="s">
        <v>589</v>
      </c>
      <c r="D351" s="313" t="s">
        <v>3520</v>
      </c>
      <c r="E351" s="422">
        <v>30</v>
      </c>
      <c r="F351" s="422" t="s">
        <v>1978</v>
      </c>
      <c r="G351" s="441">
        <v>44478</v>
      </c>
      <c r="H351" s="503">
        <f t="shared" si="12"/>
        <v>41</v>
      </c>
      <c r="I351" s="311">
        <v>30</v>
      </c>
      <c r="J351" s="311">
        <v>650</v>
      </c>
      <c r="K351" s="311">
        <f t="shared" si="13"/>
        <v>19500</v>
      </c>
      <c r="L351" s="310">
        <v>44460</v>
      </c>
      <c r="M351" s="428">
        <v>44473</v>
      </c>
      <c r="N351" s="314"/>
    </row>
    <row r="352" spans="1:14" ht="15" x14ac:dyDescent="0.25">
      <c r="A352" s="425" t="s">
        <v>3579</v>
      </c>
      <c r="B352" s="342" t="s">
        <v>3527</v>
      </c>
      <c r="C352" s="426" t="s">
        <v>3528</v>
      </c>
      <c r="D352" s="313" t="s">
        <v>3591</v>
      </c>
      <c r="E352" s="422" t="s">
        <v>5</v>
      </c>
      <c r="F352" s="422"/>
      <c r="G352" s="314"/>
      <c r="H352" s="503">
        <f t="shared" si="12"/>
        <v>0</v>
      </c>
      <c r="I352" s="311">
        <v>23.01</v>
      </c>
      <c r="J352" s="451">
        <v>280</v>
      </c>
      <c r="K352" s="451">
        <f t="shared" si="13"/>
        <v>6442.8</v>
      </c>
      <c r="L352" s="310">
        <v>44463</v>
      </c>
      <c r="M352" s="428">
        <v>44466</v>
      </c>
      <c r="N352" s="314"/>
    </row>
    <row r="353" spans="1:14" ht="15" x14ac:dyDescent="0.25">
      <c r="A353" s="425" t="s">
        <v>3493</v>
      </c>
      <c r="B353" s="342" t="s">
        <v>2030</v>
      </c>
      <c r="C353" s="426" t="s">
        <v>589</v>
      </c>
      <c r="D353" s="313" t="s">
        <v>3497</v>
      </c>
      <c r="E353" s="422">
        <v>30</v>
      </c>
      <c r="F353" s="422" t="s">
        <v>1978</v>
      </c>
      <c r="G353" s="310">
        <v>44475</v>
      </c>
      <c r="H353" s="503">
        <f t="shared" si="12"/>
        <v>41</v>
      </c>
      <c r="I353" s="311">
        <v>30</v>
      </c>
      <c r="J353" s="311">
        <v>650</v>
      </c>
      <c r="K353" s="311">
        <f t="shared" si="13"/>
        <v>19500</v>
      </c>
      <c r="L353" s="310">
        <v>44445</v>
      </c>
      <c r="M353" s="428">
        <v>44466</v>
      </c>
    </row>
    <row r="354" spans="1:14" x14ac:dyDescent="0.3">
      <c r="A354" s="124" t="s">
        <v>2185</v>
      </c>
      <c r="B354" s="344" t="s">
        <v>2061</v>
      </c>
      <c r="C354" s="344" t="s">
        <v>1511</v>
      </c>
      <c r="D354" s="125" t="s">
        <v>2999</v>
      </c>
      <c r="E354" s="125">
        <v>120</v>
      </c>
      <c r="F354" s="125" t="s">
        <v>1978</v>
      </c>
      <c r="G354" s="310">
        <v>44289</v>
      </c>
      <c r="H354" s="503">
        <f t="shared" si="12"/>
        <v>14</v>
      </c>
      <c r="I354" s="311">
        <v>-160</v>
      </c>
      <c r="J354" s="311">
        <v>2.5</v>
      </c>
      <c r="K354" s="311">
        <f>+I354*J354</f>
        <v>-400</v>
      </c>
      <c r="L354" s="310">
        <v>44169</v>
      </c>
      <c r="M354" s="314"/>
      <c r="N354" s="371" t="s">
        <v>3607</v>
      </c>
    </row>
    <row r="355" spans="1:14" x14ac:dyDescent="0.3">
      <c r="A355" s="124" t="s">
        <v>2185</v>
      </c>
      <c r="B355" s="344" t="s">
        <v>2061</v>
      </c>
      <c r="C355" s="344" t="s">
        <v>1511</v>
      </c>
      <c r="D355" s="125" t="s">
        <v>3000</v>
      </c>
      <c r="E355" s="125">
        <v>120</v>
      </c>
      <c r="F355" s="125" t="s">
        <v>1978</v>
      </c>
      <c r="G355" s="310">
        <v>44289</v>
      </c>
      <c r="H355" s="503">
        <f t="shared" si="12"/>
        <v>14</v>
      </c>
      <c r="I355" s="311">
        <v>-160</v>
      </c>
      <c r="J355" s="311">
        <v>2.5</v>
      </c>
      <c r="K355" s="311">
        <f>+I355*J355</f>
        <v>-400</v>
      </c>
      <c r="L355" s="310">
        <v>44169</v>
      </c>
      <c r="M355" s="314"/>
      <c r="N355" s="371" t="s">
        <v>3606</v>
      </c>
    </row>
    <row r="356" spans="1:14" ht="15" x14ac:dyDescent="0.25">
      <c r="A356" s="425" t="s">
        <v>3491</v>
      </c>
      <c r="B356" s="342" t="s">
        <v>2030</v>
      </c>
      <c r="C356" s="426" t="s">
        <v>589</v>
      </c>
      <c r="D356" s="313" t="s">
        <v>3519</v>
      </c>
      <c r="E356" s="422">
        <v>30</v>
      </c>
      <c r="F356" s="422" t="s">
        <v>1978</v>
      </c>
      <c r="G356" s="441">
        <v>44486</v>
      </c>
      <c r="H356" s="503">
        <f t="shared" si="12"/>
        <v>43</v>
      </c>
      <c r="I356" s="311">
        <v>30</v>
      </c>
      <c r="J356" s="311">
        <v>650</v>
      </c>
      <c r="K356" s="311">
        <f>+J356*I356</f>
        <v>19500</v>
      </c>
      <c r="L356" s="310">
        <v>44456</v>
      </c>
      <c r="M356" s="428">
        <v>44481</v>
      </c>
      <c r="N356" s="314"/>
    </row>
    <row r="357" spans="1:14" ht="15" x14ac:dyDescent="0.25">
      <c r="A357" s="425" t="s">
        <v>3343</v>
      </c>
      <c r="B357" s="426" t="s">
        <v>3219</v>
      </c>
      <c r="C357" s="426" t="s">
        <v>506</v>
      </c>
      <c r="D357" s="313" t="s">
        <v>3448</v>
      </c>
      <c r="E357" s="422">
        <v>60</v>
      </c>
      <c r="F357" s="422" t="s">
        <v>1978</v>
      </c>
      <c r="G357" s="441">
        <v>44487</v>
      </c>
      <c r="H357" s="503">
        <f t="shared" si="12"/>
        <v>43</v>
      </c>
      <c r="I357" s="311">
        <v>30</v>
      </c>
      <c r="J357" s="311">
        <v>775</v>
      </c>
      <c r="K357" s="311">
        <f>+J357*I357</f>
        <v>23250</v>
      </c>
      <c r="L357" s="310">
        <v>44430</v>
      </c>
      <c r="M357" s="428">
        <v>44482</v>
      </c>
      <c r="N357" s="314"/>
    </row>
    <row r="358" spans="1:14" ht="15" x14ac:dyDescent="0.25">
      <c r="A358" s="425" t="s">
        <v>3490</v>
      </c>
      <c r="B358" s="342" t="s">
        <v>504</v>
      </c>
      <c r="C358" s="426" t="s">
        <v>1836</v>
      </c>
      <c r="D358" s="313" t="s">
        <v>3518</v>
      </c>
      <c r="E358" s="422">
        <v>30</v>
      </c>
      <c r="F358" s="422" t="s">
        <v>1978</v>
      </c>
      <c r="G358" s="441">
        <v>44486</v>
      </c>
      <c r="H358" s="503">
        <f t="shared" si="12"/>
        <v>43</v>
      </c>
      <c r="I358" s="311">
        <v>30</v>
      </c>
      <c r="J358" s="311">
        <v>2660</v>
      </c>
      <c r="K358" s="444">
        <f>+J358*I358</f>
        <v>79800</v>
      </c>
      <c r="L358" s="310">
        <v>44459</v>
      </c>
      <c r="M358" s="428">
        <v>44482</v>
      </c>
      <c r="N358" s="314"/>
    </row>
    <row r="359" spans="1:14" ht="15" x14ac:dyDescent="0.25">
      <c r="A359" s="124" t="s">
        <v>3278</v>
      </c>
      <c r="B359" s="342" t="s">
        <v>2849</v>
      </c>
      <c r="C359" s="342" t="s">
        <v>550</v>
      </c>
      <c r="D359" s="313" t="s">
        <v>3326</v>
      </c>
      <c r="E359" s="313">
        <v>90</v>
      </c>
      <c r="F359" s="313" t="s">
        <v>1978</v>
      </c>
      <c r="G359" s="310">
        <v>44486</v>
      </c>
      <c r="H359" s="503">
        <f t="shared" si="12"/>
        <v>43</v>
      </c>
      <c r="I359" s="311">
        <v>15</v>
      </c>
      <c r="J359" s="311">
        <v>549</v>
      </c>
      <c r="K359" s="311">
        <v>8235</v>
      </c>
      <c r="L359" s="310">
        <v>44399</v>
      </c>
      <c r="M359" s="428">
        <v>44482</v>
      </c>
      <c r="N359" s="314"/>
    </row>
    <row r="360" spans="1:14" ht="15" x14ac:dyDescent="0.25">
      <c r="A360" s="124" t="s">
        <v>3279</v>
      </c>
      <c r="B360" s="342" t="s">
        <v>2849</v>
      </c>
      <c r="C360" s="342" t="s">
        <v>550</v>
      </c>
      <c r="D360" s="313" t="s">
        <v>3327</v>
      </c>
      <c r="E360" s="313">
        <v>90</v>
      </c>
      <c r="F360" s="313" t="s">
        <v>1978</v>
      </c>
      <c r="G360" s="310">
        <v>44486</v>
      </c>
      <c r="H360" s="503">
        <f t="shared" si="12"/>
        <v>43</v>
      </c>
      <c r="I360" s="311">
        <v>15</v>
      </c>
      <c r="J360" s="311">
        <v>549</v>
      </c>
      <c r="K360" s="311">
        <v>8235</v>
      </c>
      <c r="L360" s="310">
        <v>44399</v>
      </c>
      <c r="M360" s="428">
        <v>44482</v>
      </c>
      <c r="N360" s="314"/>
    </row>
    <row r="361" spans="1:14" x14ac:dyDescent="0.3">
      <c r="A361" s="124" t="s">
        <v>3297</v>
      </c>
      <c r="B361" s="342" t="s">
        <v>1040</v>
      </c>
      <c r="C361" s="342" t="s">
        <v>550</v>
      </c>
      <c r="D361" s="313" t="s">
        <v>3337</v>
      </c>
      <c r="E361" s="313">
        <v>90</v>
      </c>
      <c r="F361" s="313" t="s">
        <v>1978</v>
      </c>
      <c r="G361" s="310">
        <v>44486</v>
      </c>
      <c r="H361" s="503">
        <f t="shared" si="12"/>
        <v>43</v>
      </c>
      <c r="I361" s="311">
        <v>30</v>
      </c>
      <c r="J361" s="311">
        <v>595</v>
      </c>
      <c r="K361" s="311">
        <f>+J361*I361</f>
        <v>17850</v>
      </c>
      <c r="L361" s="310">
        <v>44399</v>
      </c>
      <c r="M361" s="428">
        <v>44482</v>
      </c>
      <c r="N361" s="314"/>
    </row>
    <row r="362" spans="1:14" x14ac:dyDescent="0.3">
      <c r="A362" s="124" t="s">
        <v>3332</v>
      </c>
      <c r="B362" s="342" t="s">
        <v>1040</v>
      </c>
      <c r="C362" s="342" t="s">
        <v>550</v>
      </c>
      <c r="D362" s="313" t="s">
        <v>3329</v>
      </c>
      <c r="E362" s="313">
        <v>90</v>
      </c>
      <c r="F362" s="313" t="s">
        <v>1978</v>
      </c>
      <c r="G362" s="310">
        <v>44487</v>
      </c>
      <c r="H362" s="503">
        <f t="shared" si="12"/>
        <v>43</v>
      </c>
      <c r="I362" s="311">
        <v>22</v>
      </c>
      <c r="J362" s="311">
        <v>595</v>
      </c>
      <c r="K362" s="311">
        <f>+J362*I362</f>
        <v>13090</v>
      </c>
      <c r="L362" s="310">
        <v>44399</v>
      </c>
      <c r="M362" s="428">
        <v>44482</v>
      </c>
      <c r="N362" s="314"/>
    </row>
    <row r="363" spans="1:14" ht="14.85" customHeight="1" x14ac:dyDescent="0.3">
      <c r="A363" s="124" t="s">
        <v>3328</v>
      </c>
      <c r="B363" s="342" t="s">
        <v>1040</v>
      </c>
      <c r="C363" s="342" t="s">
        <v>550</v>
      </c>
      <c r="D363" s="313" t="s">
        <v>3329</v>
      </c>
      <c r="E363" s="313">
        <v>90</v>
      </c>
      <c r="F363" s="313" t="s">
        <v>1978</v>
      </c>
      <c r="G363" s="310">
        <v>44487</v>
      </c>
      <c r="H363" s="503">
        <f t="shared" si="12"/>
        <v>43</v>
      </c>
      <c r="I363" s="311">
        <v>32</v>
      </c>
      <c r="J363" s="311">
        <v>595</v>
      </c>
      <c r="K363" s="311">
        <f>+J363*I363</f>
        <v>19040</v>
      </c>
      <c r="L363" s="310">
        <v>44399</v>
      </c>
      <c r="M363" s="428">
        <v>44482</v>
      </c>
      <c r="N363" s="314"/>
    </row>
    <row r="364" spans="1:14" ht="14.85" customHeight="1" x14ac:dyDescent="0.3">
      <c r="A364" s="124" t="s">
        <v>3330</v>
      </c>
      <c r="B364" s="342" t="s">
        <v>1040</v>
      </c>
      <c r="C364" s="342" t="s">
        <v>550</v>
      </c>
      <c r="D364" s="313" t="s">
        <v>3329</v>
      </c>
      <c r="E364" s="313">
        <v>90</v>
      </c>
      <c r="F364" s="313" t="s">
        <v>1978</v>
      </c>
      <c r="G364" s="310">
        <v>44487</v>
      </c>
      <c r="H364" s="503">
        <f t="shared" si="12"/>
        <v>43</v>
      </c>
      <c r="I364" s="311">
        <v>32</v>
      </c>
      <c r="J364" s="311">
        <v>595</v>
      </c>
      <c r="K364" s="311">
        <f>+J364*I364</f>
        <v>19040</v>
      </c>
      <c r="L364" s="310">
        <v>44399</v>
      </c>
      <c r="M364" s="428">
        <v>44482</v>
      </c>
      <c r="N364" s="314"/>
    </row>
    <row r="365" spans="1:14" ht="14.85" customHeight="1" x14ac:dyDescent="0.3">
      <c r="A365" s="124" t="s">
        <v>3331</v>
      </c>
      <c r="B365" s="342" t="s">
        <v>1040</v>
      </c>
      <c r="C365" s="342" t="s">
        <v>550</v>
      </c>
      <c r="D365" s="313" t="s">
        <v>3329</v>
      </c>
      <c r="E365" s="313">
        <v>90</v>
      </c>
      <c r="F365" s="313" t="s">
        <v>1978</v>
      </c>
      <c r="G365" s="310">
        <v>44487</v>
      </c>
      <c r="H365" s="503">
        <f t="shared" si="12"/>
        <v>43</v>
      </c>
      <c r="I365" s="311">
        <v>4</v>
      </c>
      <c r="J365" s="311">
        <v>595</v>
      </c>
      <c r="K365" s="311">
        <f>+J365*I365</f>
        <v>2380</v>
      </c>
      <c r="L365" s="310">
        <v>44399</v>
      </c>
      <c r="M365" s="428">
        <v>44482</v>
      </c>
      <c r="N365" s="314"/>
    </row>
    <row r="366" spans="1:14" ht="15" x14ac:dyDescent="0.25">
      <c r="A366" s="425" t="s">
        <v>3303</v>
      </c>
      <c r="B366" s="426" t="s">
        <v>1970</v>
      </c>
      <c r="C366" s="426" t="s">
        <v>550</v>
      </c>
      <c r="D366" s="313" t="s">
        <v>3342</v>
      </c>
      <c r="E366" s="422">
        <v>90</v>
      </c>
      <c r="F366" s="422" t="s">
        <v>1978</v>
      </c>
      <c r="G366" s="310">
        <v>44488</v>
      </c>
      <c r="H366" s="503">
        <f t="shared" si="12"/>
        <v>43</v>
      </c>
      <c r="I366" s="311">
        <v>10</v>
      </c>
      <c r="J366" s="311">
        <v>1150</v>
      </c>
      <c r="K366" s="311">
        <f>+I366*J366</f>
        <v>11500</v>
      </c>
      <c r="L366" s="310">
        <v>44399</v>
      </c>
      <c r="M366" s="428">
        <v>44482</v>
      </c>
      <c r="N366" s="314"/>
    </row>
    <row r="367" spans="1:14" x14ac:dyDescent="0.3">
      <c r="A367" s="453" t="s">
        <v>3584</v>
      </c>
      <c r="B367" s="454" t="s">
        <v>2393</v>
      </c>
      <c r="C367" s="455" t="s">
        <v>2938</v>
      </c>
      <c r="D367" s="313" t="s">
        <v>3627</v>
      </c>
      <c r="E367" s="441" t="s">
        <v>5</v>
      </c>
      <c r="F367" s="456" t="s">
        <v>509</v>
      </c>
      <c r="G367" s="441">
        <v>44484</v>
      </c>
      <c r="H367" s="503">
        <f t="shared" si="12"/>
        <v>42</v>
      </c>
      <c r="I367" s="311">
        <v>500</v>
      </c>
      <c r="J367" s="311">
        <v>605</v>
      </c>
      <c r="K367" s="311">
        <f t="shared" ref="K367:K376" si="14">+J367*I367</f>
        <v>302500</v>
      </c>
      <c r="L367" s="310">
        <v>44483</v>
      </c>
      <c r="M367" s="428">
        <v>44484</v>
      </c>
      <c r="N367" s="314"/>
    </row>
    <row r="368" spans="1:14" x14ac:dyDescent="0.3">
      <c r="A368" s="425" t="s">
        <v>3582</v>
      </c>
      <c r="B368" s="342" t="s">
        <v>2393</v>
      </c>
      <c r="C368" s="426" t="s">
        <v>2938</v>
      </c>
      <c r="D368" s="313" t="s">
        <v>3614</v>
      </c>
      <c r="E368" s="313">
        <v>30</v>
      </c>
      <c r="F368" s="313" t="s">
        <v>509</v>
      </c>
      <c r="G368" s="441">
        <v>44501</v>
      </c>
      <c r="H368" s="503">
        <f t="shared" si="12"/>
        <v>45</v>
      </c>
      <c r="I368" s="311">
        <v>500</v>
      </c>
      <c r="J368" s="311">
        <v>605</v>
      </c>
      <c r="K368" s="311">
        <f t="shared" si="14"/>
        <v>302500</v>
      </c>
      <c r="L368" s="310">
        <v>44482</v>
      </c>
      <c r="M368" s="314"/>
      <c r="N368" s="450" t="s">
        <v>3629</v>
      </c>
    </row>
    <row r="369" spans="1:15" x14ac:dyDescent="0.3">
      <c r="A369" s="425" t="s">
        <v>3583</v>
      </c>
      <c r="B369" s="342" t="s">
        <v>2393</v>
      </c>
      <c r="C369" s="426" t="s">
        <v>2938</v>
      </c>
      <c r="D369" s="313"/>
      <c r="E369" s="313">
        <v>30</v>
      </c>
      <c r="F369" s="313" t="s">
        <v>509</v>
      </c>
      <c r="G369" s="433">
        <v>44505</v>
      </c>
      <c r="H369" s="503">
        <f t="shared" si="12"/>
        <v>45</v>
      </c>
      <c r="I369" s="311">
        <v>500</v>
      </c>
      <c r="J369" s="311">
        <v>605</v>
      </c>
      <c r="K369" s="311">
        <f t="shared" si="14"/>
        <v>302500</v>
      </c>
      <c r="L369" s="314"/>
      <c r="M369" s="314"/>
      <c r="N369" s="459" t="s">
        <v>3631</v>
      </c>
    </row>
    <row r="370" spans="1:15" x14ac:dyDescent="0.3">
      <c r="A370" s="124" t="s">
        <v>2199</v>
      </c>
      <c r="B370" s="124" t="s">
        <v>2204</v>
      </c>
      <c r="C370" s="124" t="s">
        <v>1511</v>
      </c>
      <c r="D370" s="125" t="s">
        <v>2377</v>
      </c>
      <c r="E370" s="125">
        <v>210</v>
      </c>
      <c r="F370" s="125" t="s">
        <v>1978</v>
      </c>
      <c r="G370" s="310">
        <v>44351</v>
      </c>
      <c r="H370" s="503">
        <f t="shared" si="12"/>
        <v>23</v>
      </c>
      <c r="I370" s="311">
        <v>4000</v>
      </c>
      <c r="J370" s="311">
        <v>7.93</v>
      </c>
      <c r="K370" s="311">
        <f t="shared" si="14"/>
        <v>31720</v>
      </c>
      <c r="L370" s="310">
        <v>44478</v>
      </c>
      <c r="M370" s="310">
        <v>44475</v>
      </c>
      <c r="N370" s="428"/>
      <c r="O370"/>
    </row>
    <row r="371" spans="1:15" x14ac:dyDescent="0.3">
      <c r="A371" s="124" t="s">
        <v>2200</v>
      </c>
      <c r="B371" s="124" t="s">
        <v>2209</v>
      </c>
      <c r="C371" s="124" t="s">
        <v>1511</v>
      </c>
      <c r="D371" s="125" t="s">
        <v>2378</v>
      </c>
      <c r="E371" s="125">
        <v>210</v>
      </c>
      <c r="F371" s="125" t="s">
        <v>1978</v>
      </c>
      <c r="G371" s="310">
        <v>44351</v>
      </c>
      <c r="H371" s="503">
        <f t="shared" si="12"/>
        <v>23</v>
      </c>
      <c r="I371" s="311">
        <v>7800</v>
      </c>
      <c r="J371" s="311">
        <v>4.26</v>
      </c>
      <c r="K371" s="311">
        <f t="shared" si="14"/>
        <v>33228</v>
      </c>
      <c r="L371" s="310">
        <v>44478</v>
      </c>
      <c r="M371" s="310">
        <v>44475</v>
      </c>
      <c r="N371" s="428"/>
      <c r="O371"/>
    </row>
    <row r="372" spans="1:15" x14ac:dyDescent="0.3">
      <c r="A372" s="124" t="s">
        <v>3333</v>
      </c>
      <c r="B372" s="342" t="s">
        <v>1040</v>
      </c>
      <c r="C372" s="342" t="s">
        <v>550</v>
      </c>
      <c r="D372" s="313" t="s">
        <v>3336</v>
      </c>
      <c r="E372" s="313">
        <v>90</v>
      </c>
      <c r="F372" s="313" t="s">
        <v>1978</v>
      </c>
      <c r="G372" s="310">
        <v>44489</v>
      </c>
      <c r="H372" s="503">
        <f t="shared" si="12"/>
        <v>43</v>
      </c>
      <c r="I372" s="311">
        <v>28</v>
      </c>
      <c r="J372" s="311">
        <v>595</v>
      </c>
      <c r="K372" s="311">
        <f t="shared" si="14"/>
        <v>16660</v>
      </c>
      <c r="L372" s="310">
        <v>44404</v>
      </c>
      <c r="M372" s="428">
        <v>44489</v>
      </c>
      <c r="N372" s="428"/>
    </row>
    <row r="373" spans="1:15" x14ac:dyDescent="0.3">
      <c r="A373" s="124" t="s">
        <v>3334</v>
      </c>
      <c r="B373" s="342" t="s">
        <v>1040</v>
      </c>
      <c r="C373" s="342" t="s">
        <v>550</v>
      </c>
      <c r="D373" s="313" t="s">
        <v>3336</v>
      </c>
      <c r="E373" s="313">
        <v>90</v>
      </c>
      <c r="F373" s="313" t="s">
        <v>1978</v>
      </c>
      <c r="G373" s="310">
        <v>44489</v>
      </c>
      <c r="H373" s="503">
        <f t="shared" si="12"/>
        <v>43</v>
      </c>
      <c r="I373" s="311">
        <v>32</v>
      </c>
      <c r="J373" s="311">
        <v>595</v>
      </c>
      <c r="K373" s="311">
        <f t="shared" si="14"/>
        <v>19040</v>
      </c>
      <c r="L373" s="310">
        <v>44404</v>
      </c>
      <c r="M373" s="428">
        <v>44489</v>
      </c>
      <c r="N373" s="428"/>
    </row>
    <row r="374" spans="1:15" x14ac:dyDescent="0.3">
      <c r="A374" s="124" t="s">
        <v>3335</v>
      </c>
      <c r="B374" s="342" t="s">
        <v>1040</v>
      </c>
      <c r="C374" s="342" t="s">
        <v>550</v>
      </c>
      <c r="D374" s="313" t="s">
        <v>3447</v>
      </c>
      <c r="E374" s="313">
        <v>90</v>
      </c>
      <c r="F374" s="313" t="s">
        <v>1978</v>
      </c>
      <c r="G374" s="310">
        <v>44489</v>
      </c>
      <c r="H374" s="503">
        <f t="shared" si="12"/>
        <v>43</v>
      </c>
      <c r="I374" s="311">
        <v>30</v>
      </c>
      <c r="J374" s="311">
        <v>595</v>
      </c>
      <c r="K374" s="311">
        <f t="shared" si="14"/>
        <v>17850</v>
      </c>
      <c r="L374" s="310">
        <v>44404</v>
      </c>
      <c r="M374" s="428">
        <v>44489</v>
      </c>
      <c r="N374" s="428"/>
    </row>
    <row r="375" spans="1:15" ht="15" x14ac:dyDescent="0.25">
      <c r="A375" s="425" t="s">
        <v>3489</v>
      </c>
      <c r="B375" s="342" t="s">
        <v>504</v>
      </c>
      <c r="C375" s="426" t="s">
        <v>1836</v>
      </c>
      <c r="D375" s="313" t="s">
        <v>3571</v>
      </c>
      <c r="E375" s="422">
        <v>30</v>
      </c>
      <c r="F375" s="422" t="s">
        <v>1978</v>
      </c>
      <c r="G375" s="441">
        <v>44491</v>
      </c>
      <c r="H375" s="503">
        <f t="shared" si="12"/>
        <v>43</v>
      </c>
      <c r="I375" s="311">
        <v>30</v>
      </c>
      <c r="J375" s="311">
        <v>2680</v>
      </c>
      <c r="K375" s="444">
        <f t="shared" si="14"/>
        <v>80400</v>
      </c>
      <c r="L375" s="310">
        <v>44463</v>
      </c>
      <c r="M375" s="428">
        <v>44489</v>
      </c>
      <c r="N375" s="428"/>
    </row>
    <row r="376" spans="1:15" ht="15" x14ac:dyDescent="0.25">
      <c r="A376" s="425" t="s">
        <v>3580</v>
      </c>
      <c r="B376" s="342" t="s">
        <v>2030</v>
      </c>
      <c r="C376" s="426" t="s">
        <v>589</v>
      </c>
      <c r="D376" s="313" t="s">
        <v>3587</v>
      </c>
      <c r="E376" s="313">
        <v>30</v>
      </c>
      <c r="F376" s="313" t="s">
        <v>1978</v>
      </c>
      <c r="G376" s="441">
        <v>44503</v>
      </c>
      <c r="H376" s="503">
        <f t="shared" si="12"/>
        <v>45</v>
      </c>
      <c r="I376" s="311">
        <v>30</v>
      </c>
      <c r="J376" s="311">
        <v>650</v>
      </c>
      <c r="K376" s="311">
        <f t="shared" si="14"/>
        <v>19500</v>
      </c>
      <c r="L376" s="310">
        <v>44474</v>
      </c>
      <c r="M376" s="428">
        <v>44497</v>
      </c>
      <c r="N376" s="428"/>
    </row>
    <row r="377" spans="1:15" x14ac:dyDescent="0.3">
      <c r="A377" s="425" t="s">
        <v>3359</v>
      </c>
      <c r="B377" s="342" t="s">
        <v>1040</v>
      </c>
      <c r="C377" s="426" t="s">
        <v>550</v>
      </c>
      <c r="D377" s="313" t="s">
        <v>3693</v>
      </c>
      <c r="E377" s="422">
        <v>90</v>
      </c>
      <c r="F377" s="422" t="s">
        <v>1978</v>
      </c>
      <c r="G377" s="310">
        <v>44502</v>
      </c>
      <c r="H377" s="503">
        <f t="shared" si="12"/>
        <v>45</v>
      </c>
      <c r="I377" s="311">
        <v>60</v>
      </c>
      <c r="J377" s="311">
        <v>605</v>
      </c>
      <c r="K377" s="311">
        <f>+I377*J377</f>
        <v>36300</v>
      </c>
      <c r="L377" s="310">
        <v>44426</v>
      </c>
      <c r="M377" s="428">
        <v>44497</v>
      </c>
      <c r="N377" s="428"/>
    </row>
    <row r="378" spans="1:15" x14ac:dyDescent="0.3">
      <c r="A378" s="425" t="s">
        <v>3358</v>
      </c>
      <c r="B378" s="342" t="s">
        <v>1040</v>
      </c>
      <c r="C378" s="426" t="s">
        <v>550</v>
      </c>
      <c r="D378" s="313" t="s">
        <v>3442</v>
      </c>
      <c r="E378" s="422">
        <v>90</v>
      </c>
      <c r="F378" s="422" t="s">
        <v>1978</v>
      </c>
      <c r="G378" s="310">
        <v>44508</v>
      </c>
      <c r="H378" s="503">
        <f t="shared" si="12"/>
        <v>46</v>
      </c>
      <c r="I378" s="311">
        <v>30</v>
      </c>
      <c r="J378" s="311">
        <v>605</v>
      </c>
      <c r="K378" s="311">
        <f>+I378*J378</f>
        <v>18150</v>
      </c>
      <c r="L378" s="310">
        <v>44431</v>
      </c>
      <c r="M378" s="428">
        <v>44503</v>
      </c>
      <c r="N378" s="428"/>
    </row>
    <row r="379" spans="1:15" x14ac:dyDescent="0.3">
      <c r="A379" s="425" t="s">
        <v>3359</v>
      </c>
      <c r="B379" s="342" t="s">
        <v>1040</v>
      </c>
      <c r="C379" s="426" t="s">
        <v>550</v>
      </c>
      <c r="D379" s="313" t="s">
        <v>3443</v>
      </c>
      <c r="E379" s="422">
        <v>90</v>
      </c>
      <c r="F379" s="422" t="s">
        <v>1978</v>
      </c>
      <c r="G379" s="310">
        <v>44508</v>
      </c>
      <c r="H379" s="503">
        <f t="shared" si="12"/>
        <v>46</v>
      </c>
      <c r="I379" s="311">
        <v>60</v>
      </c>
      <c r="J379" s="311">
        <v>605</v>
      </c>
      <c r="K379" s="311">
        <f>+I379*J379</f>
        <v>36300</v>
      </c>
      <c r="L379" s="310">
        <v>44426</v>
      </c>
      <c r="M379" s="428">
        <v>44503</v>
      </c>
      <c r="N379" s="428"/>
    </row>
    <row r="380" spans="1:15" x14ac:dyDescent="0.3">
      <c r="A380" s="425" t="s">
        <v>3360</v>
      </c>
      <c r="B380" s="342" t="s">
        <v>1040</v>
      </c>
      <c r="C380" s="426" t="s">
        <v>550</v>
      </c>
      <c r="D380" s="313" t="s">
        <v>3443</v>
      </c>
      <c r="E380" s="422">
        <v>90</v>
      </c>
      <c r="F380" s="422" t="s">
        <v>1978</v>
      </c>
      <c r="G380" s="310">
        <v>44508</v>
      </c>
      <c r="H380" s="503">
        <f t="shared" si="12"/>
        <v>46</v>
      </c>
      <c r="I380" s="311">
        <v>30</v>
      </c>
      <c r="J380" s="311">
        <v>605</v>
      </c>
      <c r="K380" s="311">
        <f>+I380*J380</f>
        <v>18150</v>
      </c>
      <c r="L380" s="310">
        <v>44427</v>
      </c>
      <c r="M380" s="428">
        <v>44503</v>
      </c>
      <c r="N380" s="428"/>
    </row>
    <row r="381" spans="1:15" x14ac:dyDescent="0.3">
      <c r="A381" s="425" t="s">
        <v>3356</v>
      </c>
      <c r="B381" s="342" t="s">
        <v>1040</v>
      </c>
      <c r="C381" s="426" t="s">
        <v>550</v>
      </c>
      <c r="D381" s="313" t="s">
        <v>3439</v>
      </c>
      <c r="E381" s="422">
        <v>90</v>
      </c>
      <c r="F381" s="422" t="s">
        <v>1978</v>
      </c>
      <c r="G381" s="310">
        <v>44508</v>
      </c>
      <c r="H381" s="503">
        <f t="shared" si="12"/>
        <v>46</v>
      </c>
      <c r="I381" s="311">
        <v>30</v>
      </c>
      <c r="J381" s="311">
        <v>605</v>
      </c>
      <c r="K381" s="311">
        <f>+I381*J381</f>
        <v>18150</v>
      </c>
      <c r="L381" s="310">
        <v>44427</v>
      </c>
      <c r="M381" s="428">
        <v>44503</v>
      </c>
      <c r="N381" s="428"/>
    </row>
    <row r="382" spans="1:15" ht="15" x14ac:dyDescent="0.25">
      <c r="A382" s="425" t="s">
        <v>3450</v>
      </c>
      <c r="B382" s="426" t="s">
        <v>3219</v>
      </c>
      <c r="C382" s="426" t="s">
        <v>506</v>
      </c>
      <c r="D382" s="313" t="s">
        <v>3517</v>
      </c>
      <c r="E382" s="422">
        <v>60</v>
      </c>
      <c r="F382" s="422" t="s">
        <v>1978</v>
      </c>
      <c r="G382" s="441">
        <v>44507</v>
      </c>
      <c r="H382" s="503">
        <f t="shared" si="12"/>
        <v>46</v>
      </c>
      <c r="I382" s="311">
        <v>30</v>
      </c>
      <c r="J382" s="311">
        <v>775</v>
      </c>
      <c r="K382" s="311">
        <f>+J382*I382</f>
        <v>23250</v>
      </c>
      <c r="L382" s="310">
        <v>44449</v>
      </c>
      <c r="M382" s="428">
        <v>44503</v>
      </c>
      <c r="N382" s="428"/>
    </row>
    <row r="383" spans="1:15" x14ac:dyDescent="0.3">
      <c r="A383" s="425" t="s">
        <v>3610</v>
      </c>
      <c r="B383" s="342" t="s">
        <v>504</v>
      </c>
      <c r="C383" s="426" t="s">
        <v>1836</v>
      </c>
      <c r="D383" s="313" t="s">
        <v>3612</v>
      </c>
      <c r="E383" s="313">
        <v>30</v>
      </c>
      <c r="F383" s="313" t="s">
        <v>509</v>
      </c>
      <c r="G383" s="441">
        <v>44506</v>
      </c>
      <c r="H383" s="503">
        <f t="shared" si="12"/>
        <v>45</v>
      </c>
      <c r="I383" s="311">
        <v>16</v>
      </c>
      <c r="J383" s="311">
        <v>2600</v>
      </c>
      <c r="K383" s="311">
        <f>+J383*I383</f>
        <v>41600</v>
      </c>
      <c r="L383" s="310">
        <v>44481</v>
      </c>
      <c r="M383" s="428">
        <v>44503</v>
      </c>
      <c r="N383" s="428"/>
    </row>
    <row r="384" spans="1:15" x14ac:dyDescent="0.3">
      <c r="A384" s="425" t="s">
        <v>3718</v>
      </c>
      <c r="B384" s="342" t="s">
        <v>3719</v>
      </c>
      <c r="C384" s="342" t="s">
        <v>1511</v>
      </c>
      <c r="D384" s="313" t="s">
        <v>3721</v>
      </c>
      <c r="E384" s="313" t="s">
        <v>5</v>
      </c>
      <c r="F384" s="313" t="s">
        <v>1978</v>
      </c>
      <c r="G384" s="441">
        <v>44507</v>
      </c>
      <c r="H384" s="503">
        <f t="shared" si="12"/>
        <v>46</v>
      </c>
      <c r="I384" s="311">
        <v>24.35</v>
      </c>
      <c r="J384" s="311">
        <v>485</v>
      </c>
      <c r="K384" s="311">
        <f>+I384*J384</f>
        <v>11809.75</v>
      </c>
      <c r="L384" s="310">
        <v>44504</v>
      </c>
      <c r="M384" s="428">
        <v>44509</v>
      </c>
      <c r="N384" s="428"/>
    </row>
    <row r="385" spans="1:14" x14ac:dyDescent="0.3">
      <c r="A385" s="425" t="s">
        <v>3357</v>
      </c>
      <c r="B385" s="342" t="s">
        <v>1040</v>
      </c>
      <c r="C385" s="426" t="s">
        <v>550</v>
      </c>
      <c r="D385" s="313" t="s">
        <v>3440</v>
      </c>
      <c r="E385" s="422">
        <v>90</v>
      </c>
      <c r="F385" s="422" t="s">
        <v>1978</v>
      </c>
      <c r="G385" s="310">
        <v>44510</v>
      </c>
      <c r="H385" s="503">
        <f t="shared" si="12"/>
        <v>46</v>
      </c>
      <c r="I385" s="311">
        <v>30</v>
      </c>
      <c r="J385" s="311">
        <v>605</v>
      </c>
      <c r="K385" s="311">
        <f>+I385*J385</f>
        <v>18150</v>
      </c>
      <c r="L385" s="310">
        <v>44427</v>
      </c>
      <c r="M385" s="428">
        <v>44510</v>
      </c>
      <c r="N385" s="428"/>
    </row>
    <row r="386" spans="1:14" x14ac:dyDescent="0.3">
      <c r="A386" s="425" t="s">
        <v>3441</v>
      </c>
      <c r="B386" s="342" t="s">
        <v>1040</v>
      </c>
      <c r="C386" s="426" t="s">
        <v>550</v>
      </c>
      <c r="D386" s="313" t="s">
        <v>3440</v>
      </c>
      <c r="E386" s="422">
        <v>90</v>
      </c>
      <c r="F386" s="422" t="s">
        <v>1978</v>
      </c>
      <c r="G386" s="310">
        <v>44510</v>
      </c>
      <c r="H386" s="503">
        <f t="shared" ref="H386:H404" si="15">WEEKNUM(G386)</f>
        <v>46</v>
      </c>
      <c r="I386" s="311">
        <v>28</v>
      </c>
      <c r="J386" s="311">
        <v>605</v>
      </c>
      <c r="K386" s="311">
        <f>+I386*J386</f>
        <v>16940</v>
      </c>
      <c r="L386" s="310">
        <v>44427</v>
      </c>
      <c r="M386" s="428">
        <v>44510</v>
      </c>
      <c r="N386" s="428"/>
    </row>
    <row r="387" spans="1:14" x14ac:dyDescent="0.3">
      <c r="A387" s="425" t="s">
        <v>3376</v>
      </c>
      <c r="B387" s="342" t="s">
        <v>1040</v>
      </c>
      <c r="C387" s="426" t="s">
        <v>550</v>
      </c>
      <c r="D387" s="313" t="s">
        <v>3440</v>
      </c>
      <c r="E387" s="422">
        <v>90</v>
      </c>
      <c r="F387" s="422" t="s">
        <v>1978</v>
      </c>
      <c r="G387" s="310">
        <v>44510</v>
      </c>
      <c r="H387" s="503">
        <f t="shared" si="15"/>
        <v>46</v>
      </c>
      <c r="I387" s="311">
        <v>30</v>
      </c>
      <c r="J387" s="311">
        <v>605</v>
      </c>
      <c r="K387" s="311">
        <f>+I387*J387</f>
        <v>18150</v>
      </c>
      <c r="L387" s="310">
        <v>44427</v>
      </c>
      <c r="M387" s="428">
        <v>44510</v>
      </c>
      <c r="N387" s="428"/>
    </row>
    <row r="388" spans="1:14" x14ac:dyDescent="0.3">
      <c r="A388" s="425" t="s">
        <v>3521</v>
      </c>
      <c r="B388" s="342" t="s">
        <v>3522</v>
      </c>
      <c r="C388" s="426" t="s">
        <v>2554</v>
      </c>
      <c r="D388" s="313" t="s">
        <v>3523</v>
      </c>
      <c r="E388" s="313">
        <v>60</v>
      </c>
      <c r="F388" s="313" t="s">
        <v>509</v>
      </c>
      <c r="G388" s="441">
        <v>44516</v>
      </c>
      <c r="H388" s="503">
        <f t="shared" si="15"/>
        <v>47</v>
      </c>
      <c r="I388" s="448">
        <v>15</v>
      </c>
      <c r="J388" s="448">
        <v>1640</v>
      </c>
      <c r="K388" s="448">
        <f>+J388*I388</f>
        <v>24600</v>
      </c>
      <c r="L388" s="310">
        <v>44462</v>
      </c>
      <c r="M388" s="428">
        <v>44510</v>
      </c>
      <c r="N388" s="428"/>
    </row>
    <row r="389" spans="1:14" ht="15" x14ac:dyDescent="0.25">
      <c r="A389" s="425" t="s">
        <v>3368</v>
      </c>
      <c r="B389" s="426" t="s">
        <v>3219</v>
      </c>
      <c r="C389" s="426" t="s">
        <v>506</v>
      </c>
      <c r="D389" s="313" t="s">
        <v>3570</v>
      </c>
      <c r="E389" s="422">
        <v>60</v>
      </c>
      <c r="F389" s="422" t="s">
        <v>1978</v>
      </c>
      <c r="G389" s="441">
        <v>44516</v>
      </c>
      <c r="H389" s="503">
        <f t="shared" si="15"/>
        <v>47</v>
      </c>
      <c r="I389" s="311">
        <v>30</v>
      </c>
      <c r="J389" s="311">
        <v>775</v>
      </c>
      <c r="K389" s="311">
        <f>+J389*I389</f>
        <v>23250</v>
      </c>
      <c r="L389" s="310">
        <v>44467</v>
      </c>
      <c r="M389" s="428">
        <v>44510</v>
      </c>
      <c r="N389" s="428"/>
    </row>
    <row r="390" spans="1:14" x14ac:dyDescent="0.3">
      <c r="A390" s="425" t="s">
        <v>3611</v>
      </c>
      <c r="B390" s="342" t="s">
        <v>504</v>
      </c>
      <c r="C390" s="426" t="s">
        <v>1836</v>
      </c>
      <c r="D390" s="313" t="s">
        <v>3613</v>
      </c>
      <c r="E390" s="313">
        <v>30</v>
      </c>
      <c r="F390" s="313" t="s">
        <v>509</v>
      </c>
      <c r="G390" s="441">
        <v>44510</v>
      </c>
      <c r="H390" s="503">
        <f t="shared" si="15"/>
        <v>46</v>
      </c>
      <c r="I390" s="311">
        <v>14</v>
      </c>
      <c r="J390" s="311">
        <v>2600</v>
      </c>
      <c r="K390" s="311">
        <f>+J390*I390</f>
        <v>36400</v>
      </c>
      <c r="L390" s="310">
        <v>44481</v>
      </c>
      <c r="M390" s="428">
        <v>44510</v>
      </c>
      <c r="N390" s="428"/>
    </row>
    <row r="391" spans="1:14" ht="15" x14ac:dyDescent="0.25">
      <c r="A391" s="453" t="s">
        <v>3581</v>
      </c>
      <c r="B391" s="454" t="s">
        <v>2030</v>
      </c>
      <c r="C391" s="455" t="s">
        <v>589</v>
      </c>
      <c r="D391" s="313" t="s">
        <v>3632</v>
      </c>
      <c r="E391" s="313">
        <v>30</v>
      </c>
      <c r="F391" s="313" t="s">
        <v>1978</v>
      </c>
      <c r="G391" s="441">
        <v>44511</v>
      </c>
      <c r="H391" s="503">
        <f t="shared" si="15"/>
        <v>46</v>
      </c>
      <c r="I391" s="311">
        <v>30</v>
      </c>
      <c r="J391" s="311">
        <v>30</v>
      </c>
      <c r="K391" s="311">
        <f>+J391*I391</f>
        <v>900</v>
      </c>
      <c r="L391" s="310">
        <v>44488</v>
      </c>
      <c r="M391" s="428">
        <v>44509</v>
      </c>
      <c r="N391" s="428"/>
    </row>
    <row r="392" spans="1:14" x14ac:dyDescent="0.3">
      <c r="A392" s="425" t="s">
        <v>3376</v>
      </c>
      <c r="B392" s="342" t="s">
        <v>1040</v>
      </c>
      <c r="C392" s="426" t="s">
        <v>550</v>
      </c>
      <c r="D392" s="313" t="s">
        <v>3442</v>
      </c>
      <c r="E392" s="422">
        <v>90</v>
      </c>
      <c r="F392" s="422" t="s">
        <v>1978</v>
      </c>
      <c r="G392" s="310">
        <v>44508</v>
      </c>
      <c r="H392" s="503">
        <f t="shared" si="15"/>
        <v>46</v>
      </c>
      <c r="I392" s="311">
        <v>30</v>
      </c>
      <c r="J392" s="311">
        <v>605</v>
      </c>
      <c r="K392" s="311">
        <f>+I392*J392</f>
        <v>18150</v>
      </c>
      <c r="L392" s="310">
        <v>44427</v>
      </c>
      <c r="M392" s="428">
        <v>44503</v>
      </c>
      <c r="N392" s="428"/>
    </row>
    <row r="393" spans="1:14" x14ac:dyDescent="0.3">
      <c r="A393" s="425" t="s">
        <v>3633</v>
      </c>
      <c r="B393" s="342" t="s">
        <v>2030</v>
      </c>
      <c r="C393" s="426" t="s">
        <v>589</v>
      </c>
      <c r="D393" s="313" t="s">
        <v>3644</v>
      </c>
      <c r="E393" s="313">
        <v>30</v>
      </c>
      <c r="F393" s="313" t="s">
        <v>509</v>
      </c>
      <c r="G393" s="441">
        <v>44519</v>
      </c>
      <c r="H393" s="503">
        <f t="shared" si="15"/>
        <v>47</v>
      </c>
      <c r="I393" s="311">
        <v>30</v>
      </c>
      <c r="J393" s="311">
        <v>650</v>
      </c>
      <c r="K393" s="311">
        <f>+J393*I393</f>
        <v>19500</v>
      </c>
      <c r="L393" s="310">
        <v>44489</v>
      </c>
      <c r="M393" s="428">
        <v>44515</v>
      </c>
      <c r="N393" s="428"/>
    </row>
    <row r="394" spans="1:14" x14ac:dyDescent="0.3">
      <c r="A394" s="425" t="s">
        <v>3634</v>
      </c>
      <c r="B394" s="342" t="s">
        <v>2030</v>
      </c>
      <c r="C394" s="426" t="s">
        <v>589</v>
      </c>
      <c r="D394" s="313" t="s">
        <v>3645</v>
      </c>
      <c r="E394" s="313">
        <v>30</v>
      </c>
      <c r="F394" s="313" t="s">
        <v>509</v>
      </c>
      <c r="G394" s="441">
        <v>44521</v>
      </c>
      <c r="H394" s="503">
        <f t="shared" si="15"/>
        <v>48</v>
      </c>
      <c r="I394" s="311">
        <v>30</v>
      </c>
      <c r="J394" s="311">
        <v>650</v>
      </c>
      <c r="K394" s="311">
        <f>+J394*I394</f>
        <v>19500</v>
      </c>
      <c r="L394" s="310">
        <v>44490</v>
      </c>
      <c r="M394" s="428">
        <v>44517</v>
      </c>
      <c r="N394" s="428"/>
    </row>
    <row r="395" spans="1:14" x14ac:dyDescent="0.3">
      <c r="A395" s="425" t="s">
        <v>3585</v>
      </c>
      <c r="B395" s="342" t="s">
        <v>504</v>
      </c>
      <c r="C395" s="426" t="s">
        <v>1836</v>
      </c>
      <c r="D395" s="313" t="s">
        <v>3630</v>
      </c>
      <c r="E395" s="313">
        <v>30</v>
      </c>
      <c r="F395" s="313" t="s">
        <v>509</v>
      </c>
      <c r="G395" s="441">
        <v>44517</v>
      </c>
      <c r="H395" s="503">
        <f t="shared" si="15"/>
        <v>47</v>
      </c>
      <c r="I395" s="311">
        <v>30</v>
      </c>
      <c r="J395" s="311">
        <v>2600</v>
      </c>
      <c r="K395" s="311">
        <f>+J395*I395</f>
        <v>78000</v>
      </c>
      <c r="L395" s="310">
        <v>44488</v>
      </c>
      <c r="M395" s="428">
        <v>44517</v>
      </c>
      <c r="N395" s="428"/>
    </row>
    <row r="396" spans="1:14" x14ac:dyDescent="0.3">
      <c r="A396" s="425" t="s">
        <v>3717</v>
      </c>
      <c r="B396" s="342" t="s">
        <v>1975</v>
      </c>
      <c r="C396" s="426" t="s">
        <v>589</v>
      </c>
      <c r="D396" s="313" t="s">
        <v>3720</v>
      </c>
      <c r="E396" s="313">
        <v>30</v>
      </c>
      <c r="F396" s="313" t="s">
        <v>509</v>
      </c>
      <c r="G396" s="441">
        <v>44524</v>
      </c>
      <c r="H396" s="502">
        <f t="shared" si="15"/>
        <v>48</v>
      </c>
      <c r="I396" s="311">
        <v>5</v>
      </c>
      <c r="J396" s="311">
        <v>2530</v>
      </c>
      <c r="K396" s="470">
        <f>+I396*J396</f>
        <v>12650</v>
      </c>
      <c r="L396" s="310">
        <v>44502</v>
      </c>
      <c r="M396" s="428">
        <v>44522</v>
      </c>
      <c r="N396" s="428"/>
    </row>
    <row r="397" spans="1:14" ht="15" x14ac:dyDescent="0.25">
      <c r="A397" s="425" t="s">
        <v>3638</v>
      </c>
      <c r="B397" s="426" t="s">
        <v>3219</v>
      </c>
      <c r="C397" s="426" t="s">
        <v>506</v>
      </c>
      <c r="D397" s="480" t="s">
        <v>3642</v>
      </c>
      <c r="E397" s="422">
        <v>60</v>
      </c>
      <c r="F397" s="422" t="s">
        <v>1978</v>
      </c>
      <c r="G397" s="441">
        <v>44549</v>
      </c>
      <c r="H397" s="502">
        <f t="shared" si="15"/>
        <v>52</v>
      </c>
      <c r="I397" s="311">
        <v>30</v>
      </c>
      <c r="J397" s="311">
        <v>775</v>
      </c>
      <c r="K397" s="311">
        <f>+J397*I397</f>
        <v>23250</v>
      </c>
      <c r="L397" s="310">
        <v>44490</v>
      </c>
      <c r="M397" s="428">
        <v>44529</v>
      </c>
      <c r="N397" s="428"/>
    </row>
    <row r="398" spans="1:14" ht="15" x14ac:dyDescent="0.25">
      <c r="A398" s="425" t="s">
        <v>3589</v>
      </c>
      <c r="B398" s="342" t="s">
        <v>3392</v>
      </c>
      <c r="C398" s="426" t="s">
        <v>506</v>
      </c>
      <c r="D398" s="480" t="s">
        <v>3704</v>
      </c>
      <c r="E398" s="422">
        <v>60</v>
      </c>
      <c r="F398" s="422" t="s">
        <v>1978</v>
      </c>
      <c r="G398" s="441">
        <v>44529</v>
      </c>
      <c r="H398" s="502">
        <f t="shared" si="15"/>
        <v>49</v>
      </c>
      <c r="I398" s="469">
        <v>2075</v>
      </c>
      <c r="J398" s="311">
        <v>0.4</v>
      </c>
      <c r="K398" s="311">
        <f>+I398*J398</f>
        <v>830</v>
      </c>
      <c r="L398" s="310">
        <v>44490</v>
      </c>
      <c r="M398" s="428">
        <v>44529</v>
      </c>
      <c r="N398" s="428"/>
    </row>
    <row r="399" spans="1:14" ht="15" x14ac:dyDescent="0.25">
      <c r="A399" s="425" t="s">
        <v>3416</v>
      </c>
      <c r="B399" s="426" t="s">
        <v>3219</v>
      </c>
      <c r="C399" s="426" t="s">
        <v>506</v>
      </c>
      <c r="D399" s="480" t="s">
        <v>3687</v>
      </c>
      <c r="E399" s="422">
        <v>60</v>
      </c>
      <c r="F399" s="422" t="s">
        <v>1978</v>
      </c>
      <c r="G399" s="441">
        <v>44555</v>
      </c>
      <c r="H399" s="502">
        <f t="shared" si="15"/>
        <v>52</v>
      </c>
      <c r="I399" s="311">
        <v>30</v>
      </c>
      <c r="J399" s="311">
        <v>775</v>
      </c>
      <c r="K399" s="311">
        <f>+J399*I399</f>
        <v>23250</v>
      </c>
      <c r="L399" s="310">
        <v>44418</v>
      </c>
      <c r="M399" s="428">
        <v>44529</v>
      </c>
      <c r="N399" s="428"/>
    </row>
    <row r="400" spans="1:14" ht="15" x14ac:dyDescent="0.25">
      <c r="A400" s="425" t="s">
        <v>3641</v>
      </c>
      <c r="B400" s="342" t="s">
        <v>3392</v>
      </c>
      <c r="C400" s="426" t="s">
        <v>506</v>
      </c>
      <c r="D400" s="480" t="s">
        <v>3712</v>
      </c>
      <c r="E400" s="422">
        <v>60</v>
      </c>
      <c r="F400" s="422" t="s">
        <v>1978</v>
      </c>
      <c r="G400" s="441">
        <v>44555</v>
      </c>
      <c r="H400" s="502">
        <f t="shared" si="15"/>
        <v>52</v>
      </c>
      <c r="I400" s="311">
        <v>16.5</v>
      </c>
      <c r="J400" s="311">
        <v>400</v>
      </c>
      <c r="K400" s="311">
        <f>+I400*J400</f>
        <v>6600</v>
      </c>
      <c r="L400" s="310">
        <v>44496</v>
      </c>
      <c r="M400" s="428">
        <v>44529</v>
      </c>
      <c r="N400" s="428"/>
    </row>
    <row r="401" spans="1:14" ht="15" x14ac:dyDescent="0.25">
      <c r="A401" s="425" t="s">
        <v>3449</v>
      </c>
      <c r="B401" s="426" t="s">
        <v>3219</v>
      </c>
      <c r="C401" s="426" t="s">
        <v>506</v>
      </c>
      <c r="D401" s="480" t="s">
        <v>3588</v>
      </c>
      <c r="E401" s="422">
        <v>60</v>
      </c>
      <c r="F401" s="422" t="s">
        <v>1978</v>
      </c>
      <c r="G401" s="441">
        <v>44528</v>
      </c>
      <c r="H401" s="502">
        <f t="shared" si="15"/>
        <v>49</v>
      </c>
      <c r="I401" s="311">
        <v>30</v>
      </c>
      <c r="J401" s="311">
        <v>775</v>
      </c>
      <c r="K401" s="311">
        <f>+J401*I401</f>
        <v>23250</v>
      </c>
      <c r="L401" s="310">
        <v>44469</v>
      </c>
      <c r="M401" s="428">
        <v>44524</v>
      </c>
      <c r="N401" s="428"/>
    </row>
    <row r="402" spans="1:14" ht="15" x14ac:dyDescent="0.25">
      <c r="A402" s="425" t="s">
        <v>3391</v>
      </c>
      <c r="B402" s="342" t="s">
        <v>3392</v>
      </c>
      <c r="C402" s="426" t="s">
        <v>506</v>
      </c>
      <c r="D402" s="313" t="s">
        <v>3590</v>
      </c>
      <c r="E402" s="422">
        <v>60</v>
      </c>
      <c r="F402" s="422" t="s">
        <v>1978</v>
      </c>
      <c r="G402" s="441">
        <v>44526</v>
      </c>
      <c r="H402" s="502">
        <f t="shared" si="15"/>
        <v>48</v>
      </c>
      <c r="I402" s="311">
        <v>5</v>
      </c>
      <c r="J402" s="311">
        <v>400</v>
      </c>
      <c r="K402" s="311">
        <f>+I402*J402</f>
        <v>2000</v>
      </c>
      <c r="L402" s="310">
        <v>44490</v>
      </c>
      <c r="M402" s="428">
        <v>44524</v>
      </c>
      <c r="N402" s="428"/>
    </row>
    <row r="403" spans="1:14" ht="15" x14ac:dyDescent="0.25">
      <c r="A403" s="425" t="s">
        <v>3787</v>
      </c>
      <c r="B403" s="426" t="s">
        <v>3377</v>
      </c>
      <c r="C403" s="426" t="s">
        <v>1842</v>
      </c>
      <c r="D403" s="313" t="s">
        <v>3788</v>
      </c>
      <c r="E403" s="422">
        <v>15</v>
      </c>
      <c r="F403" s="422" t="s">
        <v>1978</v>
      </c>
      <c r="G403" s="441">
        <v>44537</v>
      </c>
      <c r="H403" s="502">
        <f t="shared" si="15"/>
        <v>50</v>
      </c>
      <c r="I403" s="311">
        <v>300</v>
      </c>
      <c r="J403" s="311">
        <v>790</v>
      </c>
      <c r="K403" s="311">
        <f>+J403*I403</f>
        <v>237000</v>
      </c>
      <c r="L403" s="310">
        <v>44523</v>
      </c>
      <c r="M403" s="428">
        <v>44529</v>
      </c>
      <c r="N403" s="428"/>
    </row>
    <row r="404" spans="1:14" x14ac:dyDescent="0.3">
      <c r="A404" s="425" t="s">
        <v>3586</v>
      </c>
      <c r="B404" s="342" t="s">
        <v>504</v>
      </c>
      <c r="C404" s="426" t="s">
        <v>1836</v>
      </c>
      <c r="D404" s="313" t="s">
        <v>3707</v>
      </c>
      <c r="E404" s="313">
        <v>30</v>
      </c>
      <c r="F404" s="313" t="s">
        <v>509</v>
      </c>
      <c r="G404" s="441">
        <v>44528</v>
      </c>
      <c r="H404" s="502">
        <f t="shared" si="15"/>
        <v>49</v>
      </c>
      <c r="I404" s="311">
        <v>30</v>
      </c>
      <c r="J404" s="311">
        <v>2600</v>
      </c>
      <c r="K404" s="311">
        <f>+J404*I404</f>
        <v>78000</v>
      </c>
      <c r="L404" s="310">
        <v>44502</v>
      </c>
      <c r="M404" s="428">
        <v>44524</v>
      </c>
      <c r="N404" s="428"/>
    </row>
    <row r="405" spans="1:14" ht="15" x14ac:dyDescent="0.25">
      <c r="A405" s="425" t="s">
        <v>3589</v>
      </c>
      <c r="B405" s="342" t="s">
        <v>3392</v>
      </c>
      <c r="C405" s="426" t="s">
        <v>506</v>
      </c>
      <c r="D405" s="313" t="s">
        <v>3705</v>
      </c>
      <c r="E405" s="422">
        <v>60</v>
      </c>
      <c r="F405" s="422" t="s">
        <v>1978</v>
      </c>
      <c r="G405" s="441">
        <v>44558</v>
      </c>
      <c r="H405" s="502">
        <f t="shared" ref="H405:H415" si="16">WEEKNUM(G405)</f>
        <v>53</v>
      </c>
      <c r="I405" s="468">
        <v>975</v>
      </c>
      <c r="J405" s="311">
        <v>0.4</v>
      </c>
      <c r="K405" s="311">
        <f>+I405*J405</f>
        <v>390</v>
      </c>
      <c r="L405" s="310">
        <v>44499</v>
      </c>
      <c r="M405" s="428">
        <v>44547</v>
      </c>
      <c r="N405" s="428"/>
    </row>
    <row r="406" spans="1:14" ht="15" x14ac:dyDescent="0.25">
      <c r="A406" s="425" t="s">
        <v>3825</v>
      </c>
      <c r="B406" s="426" t="s">
        <v>2030</v>
      </c>
      <c r="C406" s="426" t="s">
        <v>3827</v>
      </c>
      <c r="D406" s="313" t="s">
        <v>3828</v>
      </c>
      <c r="E406" s="313">
        <v>30</v>
      </c>
      <c r="F406" s="422" t="s">
        <v>1978</v>
      </c>
      <c r="G406" s="441">
        <v>44559</v>
      </c>
      <c r="H406" s="502">
        <f t="shared" si="16"/>
        <v>53</v>
      </c>
      <c r="I406" s="311">
        <v>26</v>
      </c>
      <c r="J406" s="311">
        <v>568</v>
      </c>
      <c r="K406" s="311">
        <f>+J406*I406</f>
        <v>14768</v>
      </c>
      <c r="L406" s="310">
        <v>44531</v>
      </c>
      <c r="M406" s="428">
        <v>44566</v>
      </c>
      <c r="N406" s="428"/>
    </row>
    <row r="407" spans="1:14" ht="15" x14ac:dyDescent="0.25">
      <c r="A407" s="425" t="s">
        <v>3826</v>
      </c>
      <c r="B407" s="426" t="s">
        <v>2030</v>
      </c>
      <c r="C407" s="426" t="s">
        <v>3827</v>
      </c>
      <c r="D407" s="313" t="s">
        <v>3828</v>
      </c>
      <c r="E407" s="313">
        <v>30</v>
      </c>
      <c r="F407" s="422" t="s">
        <v>1978</v>
      </c>
      <c r="G407" s="441">
        <v>44559</v>
      </c>
      <c r="H407" s="502">
        <f t="shared" si="16"/>
        <v>53</v>
      </c>
      <c r="I407" s="311">
        <v>24</v>
      </c>
      <c r="J407" s="311">
        <v>568</v>
      </c>
      <c r="K407" s="311">
        <f>+J407*I407</f>
        <v>13632</v>
      </c>
      <c r="L407" s="310">
        <v>44531</v>
      </c>
      <c r="M407" s="428">
        <v>44566</v>
      </c>
      <c r="N407" s="428"/>
    </row>
    <row r="408" spans="1:14" ht="15" x14ac:dyDescent="0.25">
      <c r="A408" s="425" t="s">
        <v>3713</v>
      </c>
      <c r="B408" s="342" t="s">
        <v>3392</v>
      </c>
      <c r="C408" s="426" t="s">
        <v>506</v>
      </c>
      <c r="D408" s="313" t="s">
        <v>3792</v>
      </c>
      <c r="E408" s="422">
        <v>60</v>
      </c>
      <c r="F408" s="422" t="s">
        <v>1978</v>
      </c>
      <c r="G408" s="441">
        <v>44565</v>
      </c>
      <c r="H408" s="502">
        <f t="shared" si="16"/>
        <v>2</v>
      </c>
      <c r="I408" s="311">
        <v>11.475</v>
      </c>
      <c r="J408" s="311">
        <v>400</v>
      </c>
      <c r="K408" s="470">
        <f>+I408*J408</f>
        <v>4590</v>
      </c>
      <c r="L408" s="310">
        <v>44508</v>
      </c>
      <c r="M408" s="428">
        <v>44566</v>
      </c>
      <c r="N408" s="428"/>
    </row>
    <row r="409" spans="1:14" ht="15" x14ac:dyDescent="0.25">
      <c r="A409" s="425" t="s">
        <v>3931</v>
      </c>
      <c r="B409" s="342" t="s">
        <v>3939</v>
      </c>
      <c r="C409" s="426" t="s">
        <v>3940</v>
      </c>
      <c r="D409" s="313" t="s">
        <v>3942</v>
      </c>
      <c r="E409" s="449" t="s">
        <v>5</v>
      </c>
      <c r="F409" s="313"/>
      <c r="G409" s="441">
        <v>44558</v>
      </c>
      <c r="H409" s="502">
        <f t="shared" si="16"/>
        <v>53</v>
      </c>
      <c r="I409" s="311">
        <v>1</v>
      </c>
      <c r="J409" s="311">
        <v>8.375</v>
      </c>
      <c r="K409" s="311">
        <f>+J409*I409</f>
        <v>8.375</v>
      </c>
      <c r="L409" s="310">
        <v>44923</v>
      </c>
      <c r="M409" s="428">
        <v>44559</v>
      </c>
      <c r="N409" s="428"/>
    </row>
    <row r="410" spans="1:14" x14ac:dyDescent="0.3">
      <c r="A410" s="425" t="s">
        <v>3637</v>
      </c>
      <c r="B410" s="342" t="s">
        <v>1970</v>
      </c>
      <c r="C410" s="342" t="s">
        <v>550</v>
      </c>
      <c r="D410" s="313" t="s">
        <v>3688</v>
      </c>
      <c r="E410" s="313">
        <v>90</v>
      </c>
      <c r="F410" s="313" t="s">
        <v>509</v>
      </c>
      <c r="G410" s="310">
        <v>44578</v>
      </c>
      <c r="H410" s="502">
        <f t="shared" si="16"/>
        <v>4</v>
      </c>
      <c r="I410" s="311">
        <v>1169</v>
      </c>
      <c r="J410" s="311">
        <v>10</v>
      </c>
      <c r="K410" s="311">
        <f>+J410*I410</f>
        <v>11690</v>
      </c>
      <c r="L410" s="310">
        <v>44491</v>
      </c>
      <c r="M410" s="428">
        <v>44573</v>
      </c>
      <c r="N410" s="428"/>
    </row>
    <row r="411" spans="1:14" x14ac:dyDescent="0.3">
      <c r="A411" s="425" t="s">
        <v>3635</v>
      </c>
      <c r="B411" s="342" t="s">
        <v>1040</v>
      </c>
      <c r="C411" s="342" t="s">
        <v>550</v>
      </c>
      <c r="D411" s="313" t="s">
        <v>3706</v>
      </c>
      <c r="E411" s="313">
        <v>90</v>
      </c>
      <c r="F411" s="313" t="s">
        <v>509</v>
      </c>
      <c r="G411" s="310">
        <v>44578</v>
      </c>
      <c r="H411" s="502">
        <f t="shared" si="16"/>
        <v>4</v>
      </c>
      <c r="I411" s="311">
        <v>35</v>
      </c>
      <c r="J411" s="311">
        <v>649</v>
      </c>
      <c r="K411" s="311">
        <f>+J411*I411</f>
        <v>22715</v>
      </c>
      <c r="L411" s="310">
        <v>44502</v>
      </c>
      <c r="M411" s="428">
        <v>44573</v>
      </c>
      <c r="N411" s="428"/>
    </row>
    <row r="412" spans="1:14" x14ac:dyDescent="0.3">
      <c r="A412" s="425" t="s">
        <v>3636</v>
      </c>
      <c r="B412" s="342" t="s">
        <v>1040</v>
      </c>
      <c r="C412" s="342" t="s">
        <v>550</v>
      </c>
      <c r="D412" s="313" t="s">
        <v>3706</v>
      </c>
      <c r="E412" s="313">
        <v>90</v>
      </c>
      <c r="F412" s="313" t="s">
        <v>509</v>
      </c>
      <c r="G412" s="310">
        <v>44578</v>
      </c>
      <c r="H412" s="502">
        <f t="shared" si="16"/>
        <v>4</v>
      </c>
      <c r="I412" s="311">
        <v>22</v>
      </c>
      <c r="J412" s="311">
        <v>649</v>
      </c>
      <c r="K412" s="311">
        <f>+J412*I412</f>
        <v>14278</v>
      </c>
      <c r="L412" s="310">
        <v>44502</v>
      </c>
      <c r="M412" s="428">
        <v>44573</v>
      </c>
      <c r="N412" s="428"/>
    </row>
    <row r="413" spans="1:14" x14ac:dyDescent="0.3">
      <c r="A413" s="425" t="s">
        <v>3708</v>
      </c>
      <c r="B413" s="342" t="s">
        <v>1040</v>
      </c>
      <c r="C413" s="342" t="s">
        <v>550</v>
      </c>
      <c r="D413" s="313" t="s">
        <v>3706</v>
      </c>
      <c r="E413" s="313">
        <v>90</v>
      </c>
      <c r="F413" s="313" t="s">
        <v>509</v>
      </c>
      <c r="G413" s="310">
        <v>44578</v>
      </c>
      <c r="H413" s="502">
        <f t="shared" si="16"/>
        <v>4</v>
      </c>
      <c r="I413" s="311">
        <v>3</v>
      </c>
      <c r="J413" s="311">
        <v>649</v>
      </c>
      <c r="K413" s="311">
        <f>+J413*I413</f>
        <v>1947</v>
      </c>
      <c r="L413" s="310">
        <v>44502</v>
      </c>
      <c r="M413" s="428">
        <v>44573</v>
      </c>
      <c r="N413" s="428"/>
    </row>
    <row r="414" spans="1:14" ht="15" x14ac:dyDescent="0.25">
      <c r="A414" s="425" t="s">
        <v>3714</v>
      </c>
      <c r="B414" s="342" t="s">
        <v>3392</v>
      </c>
      <c r="C414" s="426" t="s">
        <v>506</v>
      </c>
      <c r="D414" s="313" t="s">
        <v>3778</v>
      </c>
      <c r="E414" s="422">
        <v>60</v>
      </c>
      <c r="F414" s="422" t="s">
        <v>1978</v>
      </c>
      <c r="G414" s="441">
        <v>44577</v>
      </c>
      <c r="H414" s="502">
        <f t="shared" si="16"/>
        <v>4</v>
      </c>
      <c r="I414" s="311">
        <v>2</v>
      </c>
      <c r="J414" s="311">
        <v>400</v>
      </c>
      <c r="K414" s="470">
        <f>+I414*J414</f>
        <v>800</v>
      </c>
      <c r="L414" s="310">
        <v>44517</v>
      </c>
      <c r="M414" s="428">
        <v>44573</v>
      </c>
      <c r="N414" s="428"/>
    </row>
    <row r="415" spans="1:14" ht="15" x14ac:dyDescent="0.25">
      <c r="A415" s="425" t="s">
        <v>4017</v>
      </c>
      <c r="B415" s="342" t="s">
        <v>4018</v>
      </c>
      <c r="C415" s="426" t="s">
        <v>4019</v>
      </c>
      <c r="D415" s="313" t="s">
        <v>4020</v>
      </c>
      <c r="E415" s="449" t="s">
        <v>5</v>
      </c>
      <c r="F415" s="125"/>
      <c r="G415" s="441">
        <v>44593</v>
      </c>
      <c r="H415" s="502">
        <f t="shared" si="16"/>
        <v>6</v>
      </c>
      <c r="I415" s="311">
        <v>7</v>
      </c>
      <c r="J415" s="311">
        <v>850</v>
      </c>
      <c r="K415" s="470">
        <f>+I415*J415</f>
        <v>5950</v>
      </c>
      <c r="L415" s="310">
        <v>44593</v>
      </c>
      <c r="M415" s="310">
        <v>44593</v>
      </c>
      <c r="N415" s="428"/>
    </row>
    <row r="416" spans="1:14" ht="15" x14ac:dyDescent="0.25">
      <c r="A416" s="425" t="s">
        <v>3640</v>
      </c>
      <c r="B416" s="426" t="s">
        <v>3219</v>
      </c>
      <c r="C416" s="426" t="s">
        <v>506</v>
      </c>
      <c r="D416" s="313" t="s">
        <v>3785</v>
      </c>
      <c r="E416" s="422">
        <v>60</v>
      </c>
      <c r="F416" s="422" t="s">
        <v>1978</v>
      </c>
      <c r="G416" s="310">
        <v>44580</v>
      </c>
      <c r="H416" s="460">
        <f t="shared" ref="H416:H422" si="17">WEEKNUM(G416)</f>
        <v>4</v>
      </c>
      <c r="I416" s="311">
        <v>30</v>
      </c>
      <c r="J416" s="311">
        <v>775</v>
      </c>
      <c r="K416" s="311">
        <f>+J416*I416</f>
        <v>23250</v>
      </c>
      <c r="L416" s="310">
        <v>44523</v>
      </c>
      <c r="M416" s="310">
        <v>44580</v>
      </c>
      <c r="N416" s="428"/>
    </row>
    <row r="417" spans="1:14" s="421" customFormat="1" ht="14.25" customHeight="1" x14ac:dyDescent="0.2">
      <c r="A417" s="425" t="s">
        <v>3786</v>
      </c>
      <c r="B417" s="426" t="s">
        <v>3392</v>
      </c>
      <c r="C417" s="426" t="s">
        <v>506</v>
      </c>
      <c r="D417" s="422" t="s">
        <v>3789</v>
      </c>
      <c r="E417" s="422">
        <v>60</v>
      </c>
      <c r="F417" s="422" t="s">
        <v>509</v>
      </c>
      <c r="G417" s="477">
        <v>44586</v>
      </c>
      <c r="H417" s="478">
        <f t="shared" si="17"/>
        <v>5</v>
      </c>
      <c r="I417" s="479">
        <v>10</v>
      </c>
      <c r="J417" s="479">
        <v>400</v>
      </c>
      <c r="K417" s="479">
        <f>+I417*J417</f>
        <v>4000</v>
      </c>
      <c r="L417" s="423">
        <v>44529</v>
      </c>
      <c r="M417" s="310">
        <v>44580</v>
      </c>
      <c r="N417" s="428"/>
    </row>
    <row r="418" spans="1:14" ht="15" x14ac:dyDescent="0.25">
      <c r="A418" s="425" t="s">
        <v>3639</v>
      </c>
      <c r="B418" s="426" t="s">
        <v>3219</v>
      </c>
      <c r="C418" s="426" t="s">
        <v>506</v>
      </c>
      <c r="D418" s="313" t="s">
        <v>3784</v>
      </c>
      <c r="E418" s="422">
        <v>60</v>
      </c>
      <c r="F418" s="422" t="s">
        <v>1978</v>
      </c>
      <c r="G418" s="441">
        <v>44582</v>
      </c>
      <c r="H418" s="460">
        <f t="shared" si="17"/>
        <v>4</v>
      </c>
      <c r="I418" s="311">
        <v>20</v>
      </c>
      <c r="J418" s="311">
        <v>775</v>
      </c>
      <c r="K418" s="311">
        <f>+J418*I418</f>
        <v>15500</v>
      </c>
      <c r="L418" s="310">
        <v>44467</v>
      </c>
      <c r="M418" s="310">
        <v>44580</v>
      </c>
      <c r="N418" s="428"/>
    </row>
    <row r="419" spans="1:14" x14ac:dyDescent="0.3">
      <c r="A419" s="425" t="s">
        <v>3952</v>
      </c>
      <c r="B419" s="342" t="s">
        <v>2857</v>
      </c>
      <c r="C419" s="426" t="s">
        <v>1842</v>
      </c>
      <c r="D419" s="313" t="s">
        <v>3955</v>
      </c>
      <c r="E419" s="449">
        <v>15</v>
      </c>
      <c r="F419" s="313" t="s">
        <v>1978</v>
      </c>
      <c r="G419" s="441">
        <v>44589</v>
      </c>
      <c r="H419" s="460">
        <f t="shared" si="17"/>
        <v>5</v>
      </c>
      <c r="I419" s="311">
        <v>33.1</v>
      </c>
      <c r="J419" s="311">
        <v>790</v>
      </c>
      <c r="K419" s="311">
        <f>+J419*I419</f>
        <v>26149</v>
      </c>
      <c r="L419" s="310">
        <v>44579</v>
      </c>
      <c r="M419" s="310">
        <v>44587</v>
      </c>
      <c r="N419" s="428"/>
    </row>
    <row r="420" spans="1:14" x14ac:dyDescent="0.3">
      <c r="A420" s="425" t="s">
        <v>3953</v>
      </c>
      <c r="B420" s="342" t="s">
        <v>2857</v>
      </c>
      <c r="C420" s="426" t="s">
        <v>1842</v>
      </c>
      <c r="D420" s="313" t="s">
        <v>3955</v>
      </c>
      <c r="E420" s="449">
        <v>15</v>
      </c>
      <c r="F420" s="313" t="s">
        <v>1978</v>
      </c>
      <c r="G420" s="441">
        <v>44589</v>
      </c>
      <c r="H420" s="460">
        <f t="shared" si="17"/>
        <v>5</v>
      </c>
      <c r="I420" s="311">
        <v>34</v>
      </c>
      <c r="J420" s="311">
        <v>790</v>
      </c>
      <c r="K420" s="311">
        <f>+J420*I420</f>
        <v>26860</v>
      </c>
      <c r="L420" s="310">
        <v>44579</v>
      </c>
      <c r="M420" s="310">
        <v>44587</v>
      </c>
      <c r="N420" s="428"/>
    </row>
    <row r="421" spans="1:14" x14ac:dyDescent="0.3">
      <c r="A421" s="425" t="s">
        <v>3954</v>
      </c>
      <c r="B421" s="342" t="s">
        <v>2857</v>
      </c>
      <c r="C421" s="426" t="s">
        <v>1842</v>
      </c>
      <c r="D421" s="313" t="s">
        <v>3955</v>
      </c>
      <c r="E421" s="449">
        <v>15</v>
      </c>
      <c r="F421" s="313" t="s">
        <v>1978</v>
      </c>
      <c r="G421" s="441">
        <v>44589</v>
      </c>
      <c r="H421" s="460">
        <f t="shared" si="17"/>
        <v>5</v>
      </c>
      <c r="I421" s="311">
        <v>22.9</v>
      </c>
      <c r="J421" s="311">
        <v>790</v>
      </c>
      <c r="K421" s="470">
        <f>+J421*I421</f>
        <v>18091</v>
      </c>
      <c r="L421" s="310">
        <v>44579</v>
      </c>
      <c r="M421" s="310">
        <v>44587</v>
      </c>
      <c r="N421" s="428"/>
    </row>
    <row r="422" spans="1:14" x14ac:dyDescent="0.3">
      <c r="A422" s="342" t="s">
        <v>4021</v>
      </c>
      <c r="B422" s="342" t="s">
        <v>1040</v>
      </c>
      <c r="C422" s="426" t="s">
        <v>550</v>
      </c>
      <c r="D422" s="313" t="s">
        <v>3739</v>
      </c>
      <c r="E422" s="313">
        <v>90</v>
      </c>
      <c r="F422" s="313" t="s">
        <v>1978</v>
      </c>
      <c r="G422" s="441">
        <v>44592</v>
      </c>
      <c r="H422" s="460">
        <f t="shared" si="17"/>
        <v>6</v>
      </c>
      <c r="I422" s="311">
        <v>30</v>
      </c>
      <c r="J422" s="311">
        <v>649</v>
      </c>
      <c r="K422" s="470">
        <f>+J422*I422</f>
        <v>19470</v>
      </c>
      <c r="L422" s="310">
        <v>44502</v>
      </c>
      <c r="M422" s="310">
        <v>44587</v>
      </c>
    </row>
  </sheetData>
  <autoFilter ref="A1:N395"/>
  <mergeCells count="2">
    <mergeCell ref="M320:M321"/>
    <mergeCell ref="M322:M323"/>
  </mergeCells>
  <conditionalFormatting sqref="M2:M4 M7 N315:N328">
    <cfRule type="cellIs" dxfId="1365" priority="1367" operator="between">
      <formula>+TODAY()</formula>
      <formula>+HOY+10</formula>
    </cfRule>
  </conditionalFormatting>
  <conditionalFormatting sqref="M2:M4 M7">
    <cfRule type="cellIs" dxfId="1364" priority="1365" operator="between">
      <formula>+TODAY()</formula>
      <formula>+HOY+10</formula>
    </cfRule>
  </conditionalFormatting>
  <conditionalFormatting sqref="M2:M4 M7">
    <cfRule type="cellIs" dxfId="1363" priority="1363" operator="between">
      <formula>+TODAY()</formula>
      <formula>+HOY+10</formula>
    </cfRule>
  </conditionalFormatting>
  <conditionalFormatting sqref="M2:M4 M7">
    <cfRule type="cellIs" dxfId="1362" priority="1362" operator="between">
      <formula>+TODAY()</formula>
      <formula>+HOY+10</formula>
    </cfRule>
  </conditionalFormatting>
  <conditionalFormatting sqref="M2:M4 M7">
    <cfRule type="cellIs" dxfId="1361" priority="1361" operator="between">
      <formula>+TODAY()</formula>
      <formula>+HOY+10</formula>
    </cfRule>
  </conditionalFormatting>
  <conditionalFormatting sqref="G2:H2 H3:H392">
    <cfRule type="cellIs" dxfId="1360" priority="1358" operator="between">
      <formula>+TODAY()</formula>
      <formula>+HOY+10</formula>
    </cfRule>
  </conditionalFormatting>
  <conditionalFormatting sqref="G2:H2 H3:H392">
    <cfRule type="cellIs" dxfId="1359" priority="1357" operator="between">
      <formula>+TODAY()</formula>
      <formula>+HOY+10</formula>
    </cfRule>
  </conditionalFormatting>
  <conditionalFormatting sqref="G2:H2 H3:H392">
    <cfRule type="cellIs" dxfId="1358" priority="1355" operator="between">
      <formula>+TODAY()</formula>
      <formula>+HOY+10</formula>
    </cfRule>
  </conditionalFormatting>
  <conditionalFormatting sqref="M7">
    <cfRule type="cellIs" dxfId="1357" priority="1339" operator="between">
      <formula>+TODAY()</formula>
      <formula>+HOY+10</formula>
    </cfRule>
  </conditionalFormatting>
  <conditionalFormatting sqref="G2:H2 H3:H392">
    <cfRule type="cellIs" dxfId="1356" priority="1351" operator="between">
      <formula>+TODAY()</formula>
      <formula>+HOY+10</formula>
    </cfRule>
  </conditionalFormatting>
  <conditionalFormatting sqref="G2:H2 H3:H392">
    <cfRule type="cellIs" dxfId="1355" priority="1350" operator="between">
      <formula>+TODAY()</formula>
      <formula>+HOY+10</formula>
    </cfRule>
  </conditionalFormatting>
  <conditionalFormatting sqref="G2:H2 H3:H392">
    <cfRule type="cellIs" dxfId="1354" priority="1348" operator="between">
      <formula>+TODAY()</formula>
      <formula>+HOY+10</formula>
    </cfRule>
  </conditionalFormatting>
  <conditionalFormatting sqref="G2:H2 H3:H392">
    <cfRule type="cellIs" dxfId="1353" priority="1349" operator="between">
      <formula>+TODAY()</formula>
      <formula>+HOY+10</formula>
    </cfRule>
  </conditionalFormatting>
  <conditionalFormatting sqref="G2:H2 H3:H392">
    <cfRule type="cellIs" dxfId="1352" priority="1347" operator="between">
      <formula>+TODAY()</formula>
      <formula>+HOY+10</formula>
    </cfRule>
  </conditionalFormatting>
  <conditionalFormatting sqref="G2:H2 H3:H392">
    <cfRule type="cellIs" dxfId="1351" priority="1345" operator="between">
      <formula>+TODAY()</formula>
      <formula>+HOY+10</formula>
    </cfRule>
  </conditionalFormatting>
  <conditionalFormatting sqref="G2:H2 H3:H392">
    <cfRule type="cellIs" dxfId="1350" priority="1346" operator="between">
      <formula>+TODAY()</formula>
      <formula>+HOY+10</formula>
    </cfRule>
  </conditionalFormatting>
  <conditionalFormatting sqref="G7">
    <cfRule type="cellIs" dxfId="1349" priority="1343" operator="between">
      <formula>+TODAY()</formula>
      <formula>+HOY+10</formula>
    </cfRule>
  </conditionalFormatting>
  <conditionalFormatting sqref="G3:G4 M3:M4 M7">
    <cfRule type="cellIs" dxfId="1348" priority="1344" operator="between">
      <formula>+TODAY()</formula>
      <formula>+HOY+10</formula>
    </cfRule>
  </conditionalFormatting>
  <conditionalFormatting sqref="G7">
    <cfRule type="cellIs" dxfId="1347" priority="1341" operator="between">
      <formula>+TODAY()</formula>
      <formula>+HOY+10</formula>
    </cfRule>
  </conditionalFormatting>
  <conditionalFormatting sqref="G7">
    <cfRule type="cellIs" dxfId="1346" priority="1342" operator="between">
      <formula>+TODAY()</formula>
      <formula>+HOY+10</formula>
    </cfRule>
  </conditionalFormatting>
  <conditionalFormatting sqref="M7">
    <cfRule type="cellIs" dxfId="1345" priority="1340" operator="between">
      <formula>+TODAY()</formula>
      <formula>+HOY+10</formula>
    </cfRule>
  </conditionalFormatting>
  <conditionalFormatting sqref="G2:H2 H3:H392">
    <cfRule type="cellIs" dxfId="1344" priority="1353" operator="between">
      <formula>+TODAY()</formula>
      <formula>+HOY+10</formula>
    </cfRule>
  </conditionalFormatting>
  <conditionalFormatting sqref="G2:H2 H3:H392">
    <cfRule type="cellIs" dxfId="1343" priority="1352" operator="between">
      <formula>+TODAY()</formula>
      <formula>+HOY+10</formula>
    </cfRule>
  </conditionalFormatting>
  <conditionalFormatting sqref="G2:H2 H3:H392">
    <cfRule type="cellIs" dxfId="1342" priority="1354" operator="between">
      <formula>+TODAY()</formula>
      <formula>+HOY+10</formula>
    </cfRule>
  </conditionalFormatting>
  <conditionalFormatting sqref="M7">
    <cfRule type="cellIs" dxfId="1341" priority="1338" operator="between">
      <formula>+TODAY()</formula>
      <formula>+HOY+10</formula>
    </cfRule>
  </conditionalFormatting>
  <conditionalFormatting sqref="G8">
    <cfRule type="cellIs" dxfId="1340" priority="1337" operator="between">
      <formula>+TODAY()</formula>
      <formula>+HOY+10</formula>
    </cfRule>
  </conditionalFormatting>
  <conditionalFormatting sqref="G9">
    <cfRule type="cellIs" dxfId="1339" priority="1336" operator="between">
      <formula>+TODAY()</formula>
      <formula>+HOY+10</formula>
    </cfRule>
  </conditionalFormatting>
  <conditionalFormatting sqref="M8:M9">
    <cfRule type="cellIs" dxfId="1338" priority="1335" operator="between">
      <formula>+TODAY()</formula>
      <formula>+HOY+10</formula>
    </cfRule>
  </conditionalFormatting>
  <conditionalFormatting sqref="M8:M9">
    <cfRule type="cellIs" dxfId="1337" priority="1333" operator="between">
      <formula>+TODAY()</formula>
      <formula>+HOY+10</formula>
    </cfRule>
  </conditionalFormatting>
  <conditionalFormatting sqref="M8:M9">
    <cfRule type="cellIs" dxfId="1336" priority="1332" operator="between">
      <formula>+TODAY()</formula>
      <formula>+HOY+10</formula>
    </cfRule>
  </conditionalFormatting>
  <conditionalFormatting sqref="M8:M9">
    <cfRule type="cellIs" dxfId="1335" priority="1331" operator="between">
      <formula>+TODAY()</formula>
      <formula>+HOY+10</formula>
    </cfRule>
  </conditionalFormatting>
  <conditionalFormatting sqref="M8:M9">
    <cfRule type="cellIs" dxfId="1334" priority="1334" operator="between">
      <formula>+TODAY()</formula>
      <formula>+HOY+10</formula>
    </cfRule>
  </conditionalFormatting>
  <conditionalFormatting sqref="M8:M9">
    <cfRule type="cellIs" dxfId="1333" priority="1325" operator="between">
      <formula>+TODAY()</formula>
      <formula>+HOY+10</formula>
    </cfRule>
  </conditionalFormatting>
  <conditionalFormatting sqref="M8:M9">
    <cfRule type="cellIs" dxfId="1332" priority="1324" operator="between">
      <formula>+TODAY()</formula>
      <formula>+HOY+10</formula>
    </cfRule>
  </conditionalFormatting>
  <conditionalFormatting sqref="M8:M9">
    <cfRule type="cellIs" dxfId="1331" priority="1326" operator="between">
      <formula>+TODAY()</formula>
      <formula>+HOY+10</formula>
    </cfRule>
  </conditionalFormatting>
  <conditionalFormatting sqref="M8:M9">
    <cfRule type="cellIs" dxfId="1330" priority="1330" operator="between">
      <formula>+TODAY()</formula>
      <formula>+HOY+10</formula>
    </cfRule>
  </conditionalFormatting>
  <conditionalFormatting sqref="M8:M9">
    <cfRule type="cellIs" dxfId="1329" priority="1329" operator="between">
      <formula>+TODAY()</formula>
      <formula>+HOY+10</formula>
    </cfRule>
  </conditionalFormatting>
  <conditionalFormatting sqref="M8:M9">
    <cfRule type="cellIs" dxfId="1328" priority="1328" operator="between">
      <formula>+TODAY()</formula>
      <formula>+HOY+10</formula>
    </cfRule>
  </conditionalFormatting>
  <conditionalFormatting sqref="M8:M9">
    <cfRule type="cellIs" dxfId="1327" priority="1327" operator="between">
      <formula>+TODAY()</formula>
      <formula>+HOY+10</formula>
    </cfRule>
  </conditionalFormatting>
  <conditionalFormatting sqref="M8:M9">
    <cfRule type="cellIs" dxfId="1326" priority="1323" operator="between">
      <formula>+TODAY()</formula>
      <formula>+HOY+10</formula>
    </cfRule>
  </conditionalFormatting>
  <conditionalFormatting sqref="M8:M9">
    <cfRule type="cellIs" dxfId="1325" priority="1322" operator="between">
      <formula>+TODAY()</formula>
      <formula>+HOY+10</formula>
    </cfRule>
  </conditionalFormatting>
  <conditionalFormatting sqref="M8:M9">
    <cfRule type="cellIs" dxfId="1324" priority="1321" operator="between">
      <formula>+TODAY()</formula>
      <formula>+HOY+10</formula>
    </cfRule>
  </conditionalFormatting>
  <conditionalFormatting sqref="M8:M9">
    <cfRule type="cellIs" dxfId="1323" priority="1320" operator="between">
      <formula>+TODAY()</formula>
      <formula>+HOY+10</formula>
    </cfRule>
  </conditionalFormatting>
  <conditionalFormatting sqref="M9">
    <cfRule type="cellIs" dxfId="1322" priority="1319" operator="between">
      <formula>+TODAY()</formula>
      <formula>+HOY+10</formula>
    </cfRule>
  </conditionalFormatting>
  <conditionalFormatting sqref="M8">
    <cfRule type="cellIs" dxfId="1321" priority="1302" operator="between">
      <formula>+TODAY()</formula>
      <formula>+HOY+10</formula>
    </cfRule>
  </conditionalFormatting>
  <conditionalFormatting sqref="M8">
    <cfRule type="cellIs" dxfId="1320" priority="1314" operator="between">
      <formula>+TODAY()</formula>
      <formula>+HOY+10</formula>
    </cfRule>
  </conditionalFormatting>
  <conditionalFormatting sqref="M8">
    <cfRule type="cellIs" dxfId="1319" priority="1313" operator="between">
      <formula>+TODAY()</formula>
      <formula>+HOY+10</formula>
    </cfRule>
  </conditionalFormatting>
  <conditionalFormatting sqref="M8">
    <cfRule type="cellIs" dxfId="1318" priority="1311" operator="between">
      <formula>+TODAY()</formula>
      <formula>+HOY+10</formula>
    </cfRule>
  </conditionalFormatting>
  <conditionalFormatting sqref="M8">
    <cfRule type="cellIs" dxfId="1317" priority="1312" operator="between">
      <formula>+TODAY()</formula>
      <formula>+HOY+10</formula>
    </cfRule>
  </conditionalFormatting>
  <conditionalFormatting sqref="M8">
    <cfRule type="cellIs" dxfId="1316" priority="1310" operator="between">
      <formula>+TODAY()</formula>
      <formula>+HOY+10</formula>
    </cfRule>
  </conditionalFormatting>
  <conditionalFormatting sqref="M8">
    <cfRule type="cellIs" dxfId="1315" priority="1308" operator="between">
      <formula>+TODAY()</formula>
      <formula>+HOY+10</formula>
    </cfRule>
  </conditionalFormatting>
  <conditionalFormatting sqref="M8">
    <cfRule type="cellIs" dxfId="1314" priority="1309" operator="between">
      <formula>+TODAY()</formula>
      <formula>+HOY+10</formula>
    </cfRule>
  </conditionalFormatting>
  <conditionalFormatting sqref="M8">
    <cfRule type="cellIs" dxfId="1313" priority="1306" operator="between">
      <formula>+TODAY()</formula>
      <formula>+HOY+10</formula>
    </cfRule>
  </conditionalFormatting>
  <conditionalFormatting sqref="M8">
    <cfRule type="cellIs" dxfId="1312" priority="1307" operator="between">
      <formula>+TODAY()</formula>
      <formula>+HOY+10</formula>
    </cfRule>
  </conditionalFormatting>
  <conditionalFormatting sqref="M8">
    <cfRule type="cellIs" dxfId="1311" priority="1304" operator="between">
      <formula>+TODAY()</formula>
      <formula>+HOY+10</formula>
    </cfRule>
  </conditionalFormatting>
  <conditionalFormatting sqref="M8">
    <cfRule type="cellIs" dxfId="1310" priority="1305" operator="between">
      <formula>+TODAY()</formula>
      <formula>+HOY+10</formula>
    </cfRule>
  </conditionalFormatting>
  <conditionalFormatting sqref="M8">
    <cfRule type="cellIs" dxfId="1309" priority="1303" operator="between">
      <formula>+TODAY()</formula>
      <formula>+HOY+10</formula>
    </cfRule>
  </conditionalFormatting>
  <conditionalFormatting sqref="M8">
    <cfRule type="cellIs" dxfId="1308" priority="1316" operator="between">
      <formula>+TODAY()</formula>
      <formula>+HOY+10</formula>
    </cfRule>
  </conditionalFormatting>
  <conditionalFormatting sqref="M8">
    <cfRule type="cellIs" dxfId="1307" priority="1315" operator="between">
      <formula>+TODAY()</formula>
      <formula>+HOY+10</formula>
    </cfRule>
  </conditionalFormatting>
  <conditionalFormatting sqref="M9">
    <cfRule type="cellIs" dxfId="1306" priority="1317" operator="between">
      <formula>+TODAY()</formula>
      <formula>+HOY+10</formula>
    </cfRule>
  </conditionalFormatting>
  <conditionalFormatting sqref="M5:M6 G5:G6">
    <cfRule type="cellIs" dxfId="1305" priority="1301" operator="between">
      <formula>+TODAY()</formula>
      <formula>+HOY+10</formula>
    </cfRule>
  </conditionalFormatting>
  <conditionalFormatting sqref="G10:G11">
    <cfRule type="cellIs" dxfId="1304" priority="1300" operator="between">
      <formula>+TODAY()</formula>
      <formula>+HOY+10</formula>
    </cfRule>
  </conditionalFormatting>
  <conditionalFormatting sqref="G10:G11">
    <cfRule type="cellIs" dxfId="1303" priority="1299" operator="between">
      <formula>+TODAY()</formula>
      <formula>+HOY+10</formula>
    </cfRule>
  </conditionalFormatting>
  <conditionalFormatting sqref="G10:G11">
    <cfRule type="cellIs" dxfId="1302" priority="1298" operator="between">
      <formula>+TODAY()</formula>
      <formula>+HOY+10</formula>
    </cfRule>
  </conditionalFormatting>
  <conditionalFormatting sqref="G10:G11">
    <cfRule type="cellIs" dxfId="1301" priority="1296" operator="between">
      <formula>+TODAY()</formula>
      <formula>+HOY+10</formula>
    </cfRule>
  </conditionalFormatting>
  <conditionalFormatting sqref="G10:G11">
    <cfRule type="cellIs" dxfId="1300" priority="1295" operator="between">
      <formula>+TODAY()</formula>
      <formula>+HOY+10</formula>
    </cfRule>
  </conditionalFormatting>
  <conditionalFormatting sqref="G10:G11">
    <cfRule type="cellIs" dxfId="1299" priority="1294" operator="between">
      <formula>+TODAY()</formula>
      <formula>+HOY+10</formula>
    </cfRule>
  </conditionalFormatting>
  <conditionalFormatting sqref="G10:G11">
    <cfRule type="cellIs" dxfId="1298" priority="1297" operator="between">
      <formula>+TODAY()</formula>
      <formula>+HOY+10</formula>
    </cfRule>
  </conditionalFormatting>
  <conditionalFormatting sqref="G10:G11">
    <cfRule type="cellIs" dxfId="1297" priority="1288" operator="between">
      <formula>+TODAY()</formula>
      <formula>+HOY+10</formula>
    </cfRule>
  </conditionalFormatting>
  <conditionalFormatting sqref="G10:G11">
    <cfRule type="cellIs" dxfId="1296" priority="1287" operator="between">
      <formula>+TODAY()</formula>
      <formula>+HOY+10</formula>
    </cfRule>
  </conditionalFormatting>
  <conditionalFormatting sqref="G10:G11">
    <cfRule type="cellIs" dxfId="1295" priority="1289" operator="between">
      <formula>+TODAY()</formula>
      <formula>+HOY+10</formula>
    </cfRule>
  </conditionalFormatting>
  <conditionalFormatting sqref="G10:G11">
    <cfRule type="cellIs" dxfId="1294" priority="1293" operator="between">
      <formula>+TODAY()</formula>
      <formula>+HOY+10</formula>
    </cfRule>
  </conditionalFormatting>
  <conditionalFormatting sqref="G10:G11">
    <cfRule type="cellIs" dxfId="1293" priority="1292" operator="between">
      <formula>+TODAY()</formula>
      <formula>+HOY+10</formula>
    </cfRule>
  </conditionalFormatting>
  <conditionalFormatting sqref="G10:G11">
    <cfRule type="cellIs" dxfId="1292" priority="1291" operator="between">
      <formula>+TODAY()</formula>
      <formula>+HOY+10</formula>
    </cfRule>
  </conditionalFormatting>
  <conditionalFormatting sqref="G10:G11">
    <cfRule type="cellIs" dxfId="1291" priority="1290" operator="between">
      <formula>+TODAY()</formula>
      <formula>+HOY+10</formula>
    </cfRule>
  </conditionalFormatting>
  <conditionalFormatting sqref="G10:G11">
    <cfRule type="cellIs" dxfId="1290" priority="1286" operator="between">
      <formula>+TODAY()</formula>
      <formula>+HOY+10</formula>
    </cfRule>
  </conditionalFormatting>
  <conditionalFormatting sqref="M10:M11">
    <cfRule type="cellIs" dxfId="1289" priority="1270" operator="between">
      <formula>+TODAY()</formula>
      <formula>+HOY+10</formula>
    </cfRule>
  </conditionalFormatting>
  <conditionalFormatting sqref="M10:M11">
    <cfRule type="cellIs" dxfId="1288" priority="1282" operator="between">
      <formula>+TODAY()</formula>
      <formula>+HOY+10</formula>
    </cfRule>
  </conditionalFormatting>
  <conditionalFormatting sqref="M10:M11">
    <cfRule type="cellIs" dxfId="1287" priority="1281" operator="between">
      <formula>+TODAY()</formula>
      <formula>+HOY+10</formula>
    </cfRule>
  </conditionalFormatting>
  <conditionalFormatting sqref="M10:M11">
    <cfRule type="cellIs" dxfId="1286" priority="1279" operator="between">
      <formula>+TODAY()</formula>
      <formula>+HOY+10</formula>
    </cfRule>
  </conditionalFormatting>
  <conditionalFormatting sqref="M10:M11">
    <cfRule type="cellIs" dxfId="1285" priority="1280" operator="between">
      <formula>+TODAY()</formula>
      <formula>+HOY+10</formula>
    </cfRule>
  </conditionalFormatting>
  <conditionalFormatting sqref="M10:M11">
    <cfRule type="cellIs" dxfId="1284" priority="1278" operator="between">
      <formula>+TODAY()</formula>
      <formula>+HOY+10</formula>
    </cfRule>
  </conditionalFormatting>
  <conditionalFormatting sqref="M10:M11">
    <cfRule type="cellIs" dxfId="1283" priority="1276" operator="between">
      <formula>+TODAY()</formula>
      <formula>+HOY+10</formula>
    </cfRule>
  </conditionalFormatting>
  <conditionalFormatting sqref="M10:M11">
    <cfRule type="cellIs" dxfId="1282" priority="1277" operator="between">
      <formula>+TODAY()</formula>
      <formula>+HOY+10</formula>
    </cfRule>
  </conditionalFormatting>
  <conditionalFormatting sqref="M10:M11">
    <cfRule type="cellIs" dxfId="1281" priority="1274" operator="between">
      <formula>+TODAY()</formula>
      <formula>+HOY+10</formula>
    </cfRule>
  </conditionalFormatting>
  <conditionalFormatting sqref="M10:M11">
    <cfRule type="cellIs" dxfId="1280" priority="1275" operator="between">
      <formula>+TODAY()</formula>
      <formula>+HOY+10</formula>
    </cfRule>
  </conditionalFormatting>
  <conditionalFormatting sqref="M10:M11">
    <cfRule type="cellIs" dxfId="1279" priority="1272" operator="between">
      <formula>+TODAY()</formula>
      <formula>+HOY+10</formula>
    </cfRule>
  </conditionalFormatting>
  <conditionalFormatting sqref="M10:M11">
    <cfRule type="cellIs" dxfId="1278" priority="1273" operator="between">
      <formula>+TODAY()</formula>
      <formula>+HOY+10</formula>
    </cfRule>
  </conditionalFormatting>
  <conditionalFormatting sqref="M10:M11">
    <cfRule type="cellIs" dxfId="1277" priority="1271" operator="between">
      <formula>+TODAY()</formula>
      <formula>+HOY+10</formula>
    </cfRule>
  </conditionalFormatting>
  <conditionalFormatting sqref="M10:M11">
    <cfRule type="cellIs" dxfId="1276" priority="1284" operator="between">
      <formula>+TODAY()</formula>
      <formula>+HOY+10</formula>
    </cfRule>
  </conditionalFormatting>
  <conditionalFormatting sqref="M10:M11">
    <cfRule type="cellIs" dxfId="1275" priority="1283" operator="between">
      <formula>+TODAY()</formula>
      <formula>+HOY+10</formula>
    </cfRule>
  </conditionalFormatting>
  <conditionalFormatting sqref="M10:M11">
    <cfRule type="cellIs" dxfId="1274" priority="1285" operator="between">
      <formula>+TODAY()</formula>
      <formula>+HOY+10</formula>
    </cfRule>
  </conditionalFormatting>
  <conditionalFormatting sqref="M11">
    <cfRule type="cellIs" dxfId="1273" priority="1269" operator="between">
      <formula>+TODAY()</formula>
      <formula>+HOY+10</formula>
    </cfRule>
  </conditionalFormatting>
  <conditionalFormatting sqref="M11">
    <cfRule type="cellIs" dxfId="1272" priority="1268" operator="between">
      <formula>+TODAY()</formula>
      <formula>+HOY+10</formula>
    </cfRule>
  </conditionalFormatting>
  <conditionalFormatting sqref="M11">
    <cfRule type="cellIs" dxfId="1271" priority="1267" operator="between">
      <formula>+TODAY()</formula>
      <formula>+HOY+10</formula>
    </cfRule>
  </conditionalFormatting>
  <conditionalFormatting sqref="M10">
    <cfRule type="cellIs" dxfId="1270" priority="1266" operator="between">
      <formula>+TODAY()</formula>
      <formula>+HOY+10</formula>
    </cfRule>
  </conditionalFormatting>
  <conditionalFormatting sqref="M10">
    <cfRule type="cellIs" dxfId="1269" priority="1264" operator="between">
      <formula>+TODAY()</formula>
      <formula>+HOY+10</formula>
    </cfRule>
  </conditionalFormatting>
  <conditionalFormatting sqref="M10">
    <cfRule type="cellIs" dxfId="1268" priority="1263" operator="between">
      <formula>+TODAY()</formula>
      <formula>+HOY+10</formula>
    </cfRule>
  </conditionalFormatting>
  <conditionalFormatting sqref="M10">
    <cfRule type="cellIs" dxfId="1267" priority="1262" operator="between">
      <formula>+TODAY()</formula>
      <formula>+HOY+10</formula>
    </cfRule>
  </conditionalFormatting>
  <conditionalFormatting sqref="M10">
    <cfRule type="cellIs" dxfId="1266" priority="1265" operator="between">
      <formula>+TODAY()</formula>
      <formula>+HOY+10</formula>
    </cfRule>
  </conditionalFormatting>
  <conditionalFormatting sqref="M10">
    <cfRule type="cellIs" dxfId="1265" priority="1256" operator="between">
      <formula>+TODAY()</formula>
      <formula>+HOY+10</formula>
    </cfRule>
  </conditionalFormatting>
  <conditionalFormatting sqref="M10">
    <cfRule type="cellIs" dxfId="1264" priority="1255" operator="between">
      <formula>+TODAY()</formula>
      <formula>+HOY+10</formula>
    </cfRule>
  </conditionalFormatting>
  <conditionalFormatting sqref="M10">
    <cfRule type="cellIs" dxfId="1263" priority="1257" operator="between">
      <formula>+TODAY()</formula>
      <formula>+HOY+10</formula>
    </cfRule>
  </conditionalFormatting>
  <conditionalFormatting sqref="M10">
    <cfRule type="cellIs" dxfId="1262" priority="1261" operator="between">
      <formula>+TODAY()</formula>
      <formula>+HOY+10</formula>
    </cfRule>
  </conditionalFormatting>
  <conditionalFormatting sqref="M10">
    <cfRule type="cellIs" dxfId="1261" priority="1260" operator="between">
      <formula>+TODAY()</formula>
      <formula>+HOY+10</formula>
    </cfRule>
  </conditionalFormatting>
  <conditionalFormatting sqref="M10">
    <cfRule type="cellIs" dxfId="1260" priority="1259" operator="between">
      <formula>+TODAY()</formula>
      <formula>+HOY+10</formula>
    </cfRule>
  </conditionalFormatting>
  <conditionalFormatting sqref="M10">
    <cfRule type="cellIs" dxfId="1259" priority="1258" operator="between">
      <formula>+TODAY()</formula>
      <formula>+HOY+10</formula>
    </cfRule>
  </conditionalFormatting>
  <conditionalFormatting sqref="M11">
    <cfRule type="cellIs" dxfId="1258" priority="1239" operator="between">
      <formula>+TODAY()</formula>
      <formula>+HOY+10</formula>
    </cfRule>
  </conditionalFormatting>
  <conditionalFormatting sqref="M11">
    <cfRule type="cellIs" dxfId="1257" priority="1251" operator="between">
      <formula>+TODAY()</formula>
      <formula>+HOY+10</formula>
    </cfRule>
  </conditionalFormatting>
  <conditionalFormatting sqref="M11">
    <cfRule type="cellIs" dxfId="1256" priority="1250" operator="between">
      <formula>+TODAY()</formula>
      <formula>+HOY+10</formula>
    </cfRule>
  </conditionalFormatting>
  <conditionalFormatting sqref="M11">
    <cfRule type="cellIs" dxfId="1255" priority="1248" operator="between">
      <formula>+TODAY()</formula>
      <formula>+HOY+10</formula>
    </cfRule>
  </conditionalFormatting>
  <conditionalFormatting sqref="M11">
    <cfRule type="cellIs" dxfId="1254" priority="1249" operator="between">
      <formula>+TODAY()</formula>
      <formula>+HOY+10</formula>
    </cfRule>
  </conditionalFormatting>
  <conditionalFormatting sqref="M11">
    <cfRule type="cellIs" dxfId="1253" priority="1247" operator="between">
      <formula>+TODAY()</formula>
      <formula>+HOY+10</formula>
    </cfRule>
  </conditionalFormatting>
  <conditionalFormatting sqref="M11">
    <cfRule type="cellIs" dxfId="1252" priority="1245" operator="between">
      <formula>+TODAY()</formula>
      <formula>+HOY+10</formula>
    </cfRule>
  </conditionalFormatting>
  <conditionalFormatting sqref="M11">
    <cfRule type="cellIs" dxfId="1251" priority="1246" operator="between">
      <formula>+TODAY()</formula>
      <formula>+HOY+10</formula>
    </cfRule>
  </conditionalFormatting>
  <conditionalFormatting sqref="M11">
    <cfRule type="cellIs" dxfId="1250" priority="1243" operator="between">
      <formula>+TODAY()</formula>
      <formula>+HOY+10</formula>
    </cfRule>
  </conditionalFormatting>
  <conditionalFormatting sqref="M11">
    <cfRule type="cellIs" dxfId="1249" priority="1244" operator="between">
      <formula>+TODAY()</formula>
      <formula>+HOY+10</formula>
    </cfRule>
  </conditionalFormatting>
  <conditionalFormatting sqref="M11">
    <cfRule type="cellIs" dxfId="1248" priority="1241" operator="between">
      <formula>+TODAY()</formula>
      <formula>+HOY+10</formula>
    </cfRule>
  </conditionalFormatting>
  <conditionalFormatting sqref="M11">
    <cfRule type="cellIs" dxfId="1247" priority="1242" operator="between">
      <formula>+TODAY()</formula>
      <formula>+HOY+10</formula>
    </cfRule>
  </conditionalFormatting>
  <conditionalFormatting sqref="M11">
    <cfRule type="cellIs" dxfId="1246" priority="1240" operator="between">
      <formula>+TODAY()</formula>
      <formula>+HOY+10</formula>
    </cfRule>
  </conditionalFormatting>
  <conditionalFormatting sqref="M10">
    <cfRule type="cellIs" dxfId="1245" priority="1253" operator="between">
      <formula>+TODAY()</formula>
      <formula>+HOY+10</formula>
    </cfRule>
  </conditionalFormatting>
  <conditionalFormatting sqref="M10">
    <cfRule type="cellIs" dxfId="1244" priority="1252" operator="between">
      <formula>+TODAY()</formula>
      <formula>+HOY+10</formula>
    </cfRule>
  </conditionalFormatting>
  <conditionalFormatting sqref="M10">
    <cfRule type="cellIs" dxfId="1243" priority="1254" operator="between">
      <formula>+TODAY()</formula>
      <formula>+HOY+10</formula>
    </cfRule>
  </conditionalFormatting>
  <conditionalFormatting sqref="M11">
    <cfRule type="cellIs" dxfId="1242" priority="1238" operator="between">
      <formula>+TODAY()</formula>
      <formula>+HOY+10</formula>
    </cfRule>
  </conditionalFormatting>
  <conditionalFormatting sqref="M11">
    <cfRule type="cellIs" dxfId="1241" priority="1237" operator="between">
      <formula>+TODAY()</formula>
      <formula>+HOY+10</formula>
    </cfRule>
  </conditionalFormatting>
  <conditionalFormatting sqref="G12 M12:M20">
    <cfRule type="cellIs" dxfId="1240" priority="1236" operator="between">
      <formula>+TODAY()</formula>
      <formula>+HOY+10</formula>
    </cfRule>
  </conditionalFormatting>
  <conditionalFormatting sqref="G13">
    <cfRule type="cellIs" dxfId="1239" priority="1235" operator="between">
      <formula>+TODAY()</formula>
      <formula>+HOY+10</formula>
    </cfRule>
  </conditionalFormatting>
  <conditionalFormatting sqref="G13">
    <cfRule type="cellIs" dxfId="1238" priority="1233" operator="between">
      <formula>+TODAY()</formula>
      <formula>+HOY+10</formula>
    </cfRule>
  </conditionalFormatting>
  <conditionalFormatting sqref="G13">
    <cfRule type="cellIs" dxfId="1237" priority="1232" operator="between">
      <formula>+TODAY()</formula>
      <formula>+HOY+10</formula>
    </cfRule>
  </conditionalFormatting>
  <conditionalFormatting sqref="G13">
    <cfRule type="cellIs" dxfId="1236" priority="1231" operator="between">
      <formula>+TODAY()</formula>
      <formula>+HOY+10</formula>
    </cfRule>
  </conditionalFormatting>
  <conditionalFormatting sqref="G13">
    <cfRule type="cellIs" dxfId="1235" priority="1234" operator="between">
      <formula>+TODAY()</formula>
      <formula>+HOY+10</formula>
    </cfRule>
  </conditionalFormatting>
  <conditionalFormatting sqref="G13">
    <cfRule type="cellIs" dxfId="1234" priority="1225" operator="between">
      <formula>+TODAY()</formula>
      <formula>+HOY+10</formula>
    </cfRule>
  </conditionalFormatting>
  <conditionalFormatting sqref="G13">
    <cfRule type="cellIs" dxfId="1233" priority="1224" operator="between">
      <formula>+TODAY()</formula>
      <formula>+HOY+10</formula>
    </cfRule>
  </conditionalFormatting>
  <conditionalFormatting sqref="G13">
    <cfRule type="cellIs" dxfId="1232" priority="1226" operator="between">
      <formula>+TODAY()</formula>
      <formula>+HOY+10</formula>
    </cfRule>
  </conditionalFormatting>
  <conditionalFormatting sqref="G13">
    <cfRule type="cellIs" dxfId="1231" priority="1230" operator="between">
      <formula>+TODAY()</formula>
      <formula>+HOY+10</formula>
    </cfRule>
  </conditionalFormatting>
  <conditionalFormatting sqref="G13">
    <cfRule type="cellIs" dxfId="1230" priority="1229" operator="between">
      <formula>+TODAY()</formula>
      <formula>+HOY+10</formula>
    </cfRule>
  </conditionalFormatting>
  <conditionalFormatting sqref="G13">
    <cfRule type="cellIs" dxfId="1229" priority="1228" operator="between">
      <formula>+TODAY()</formula>
      <formula>+HOY+10</formula>
    </cfRule>
  </conditionalFormatting>
  <conditionalFormatting sqref="G13">
    <cfRule type="cellIs" dxfId="1228" priority="1227" operator="between">
      <formula>+TODAY()</formula>
      <formula>+HOY+10</formula>
    </cfRule>
  </conditionalFormatting>
  <conditionalFormatting sqref="G14">
    <cfRule type="cellIs" dxfId="1227" priority="1208" operator="between">
      <formula>+TODAY()</formula>
      <formula>+HOY+10</formula>
    </cfRule>
  </conditionalFormatting>
  <conditionalFormatting sqref="G14">
    <cfRule type="cellIs" dxfId="1226" priority="1220" operator="between">
      <formula>+TODAY()</formula>
      <formula>+HOY+10</formula>
    </cfRule>
  </conditionalFormatting>
  <conditionalFormatting sqref="G14">
    <cfRule type="cellIs" dxfId="1225" priority="1219" operator="between">
      <formula>+TODAY()</formula>
      <formula>+HOY+10</formula>
    </cfRule>
  </conditionalFormatting>
  <conditionalFormatting sqref="G14">
    <cfRule type="cellIs" dxfId="1224" priority="1217" operator="between">
      <formula>+TODAY()</formula>
      <formula>+HOY+10</formula>
    </cfRule>
  </conditionalFormatting>
  <conditionalFormatting sqref="G14">
    <cfRule type="cellIs" dxfId="1223" priority="1218" operator="between">
      <formula>+TODAY()</formula>
      <formula>+HOY+10</formula>
    </cfRule>
  </conditionalFormatting>
  <conditionalFormatting sqref="G14">
    <cfRule type="cellIs" dxfId="1222" priority="1216" operator="between">
      <formula>+TODAY()</formula>
      <formula>+HOY+10</formula>
    </cfRule>
  </conditionalFormatting>
  <conditionalFormatting sqref="G14">
    <cfRule type="cellIs" dxfId="1221" priority="1214" operator="between">
      <formula>+TODAY()</formula>
      <formula>+HOY+10</formula>
    </cfRule>
  </conditionalFormatting>
  <conditionalFormatting sqref="G14">
    <cfRule type="cellIs" dxfId="1220" priority="1215" operator="between">
      <formula>+TODAY()</formula>
      <formula>+HOY+10</formula>
    </cfRule>
  </conditionalFormatting>
  <conditionalFormatting sqref="G14">
    <cfRule type="cellIs" dxfId="1219" priority="1212" operator="between">
      <formula>+TODAY()</formula>
      <formula>+HOY+10</formula>
    </cfRule>
  </conditionalFormatting>
  <conditionalFormatting sqref="G14">
    <cfRule type="cellIs" dxfId="1218" priority="1213" operator="between">
      <formula>+TODAY()</formula>
      <formula>+HOY+10</formula>
    </cfRule>
  </conditionalFormatting>
  <conditionalFormatting sqref="G14">
    <cfRule type="cellIs" dxfId="1217" priority="1210" operator="between">
      <formula>+TODAY()</formula>
      <formula>+HOY+10</formula>
    </cfRule>
  </conditionalFormatting>
  <conditionalFormatting sqref="G14">
    <cfRule type="cellIs" dxfId="1216" priority="1211" operator="between">
      <formula>+TODAY()</formula>
      <formula>+HOY+10</formula>
    </cfRule>
  </conditionalFormatting>
  <conditionalFormatting sqref="G14">
    <cfRule type="cellIs" dxfId="1215" priority="1209" operator="between">
      <formula>+TODAY()</formula>
      <formula>+HOY+10</formula>
    </cfRule>
  </conditionalFormatting>
  <conditionalFormatting sqref="G13">
    <cfRule type="cellIs" dxfId="1214" priority="1222" operator="between">
      <formula>+TODAY()</formula>
      <formula>+HOY+10</formula>
    </cfRule>
  </conditionalFormatting>
  <conditionalFormatting sqref="G13">
    <cfRule type="cellIs" dxfId="1213" priority="1221" operator="between">
      <formula>+TODAY()</formula>
      <formula>+HOY+10</formula>
    </cfRule>
  </conditionalFormatting>
  <conditionalFormatting sqref="G13">
    <cfRule type="cellIs" dxfId="1212" priority="1223" operator="between">
      <formula>+TODAY()</formula>
      <formula>+HOY+10</formula>
    </cfRule>
  </conditionalFormatting>
  <conditionalFormatting sqref="G14">
    <cfRule type="cellIs" dxfId="1211" priority="1207" operator="between">
      <formula>+TODAY()</formula>
      <formula>+HOY+10</formula>
    </cfRule>
  </conditionalFormatting>
  <conditionalFormatting sqref="G14">
    <cfRule type="cellIs" dxfId="1210" priority="1206" operator="between">
      <formula>+TODAY()</formula>
      <formula>+HOY+10</formula>
    </cfRule>
  </conditionalFormatting>
  <conditionalFormatting sqref="G15">
    <cfRule type="cellIs" dxfId="1209" priority="1205" operator="between">
      <formula>+TODAY()</formula>
      <formula>+HOY+10</formula>
    </cfRule>
  </conditionalFormatting>
  <conditionalFormatting sqref="G15">
    <cfRule type="cellIs" dxfId="1208" priority="1204" operator="between">
      <formula>+TODAY()</formula>
      <formula>+HOY+10</formula>
    </cfRule>
  </conditionalFormatting>
  <conditionalFormatting sqref="G15">
    <cfRule type="cellIs" dxfId="1207" priority="1202" operator="between">
      <formula>+TODAY()</formula>
      <formula>+HOY+10</formula>
    </cfRule>
  </conditionalFormatting>
  <conditionalFormatting sqref="G15">
    <cfRule type="cellIs" dxfId="1206" priority="1201" operator="between">
      <formula>+TODAY()</formula>
      <formula>+HOY+10</formula>
    </cfRule>
  </conditionalFormatting>
  <conditionalFormatting sqref="G15">
    <cfRule type="cellIs" dxfId="1205" priority="1200" operator="between">
      <formula>+TODAY()</formula>
      <formula>+HOY+10</formula>
    </cfRule>
  </conditionalFormatting>
  <conditionalFormatting sqref="G15">
    <cfRule type="cellIs" dxfId="1204" priority="1203" operator="between">
      <formula>+TODAY()</formula>
      <formula>+HOY+10</formula>
    </cfRule>
  </conditionalFormatting>
  <conditionalFormatting sqref="G15">
    <cfRule type="cellIs" dxfId="1203" priority="1194" operator="between">
      <formula>+TODAY()</formula>
      <formula>+HOY+10</formula>
    </cfRule>
  </conditionalFormatting>
  <conditionalFormatting sqref="G15">
    <cfRule type="cellIs" dxfId="1202" priority="1193" operator="between">
      <formula>+TODAY()</formula>
      <formula>+HOY+10</formula>
    </cfRule>
  </conditionalFormatting>
  <conditionalFormatting sqref="G15">
    <cfRule type="cellIs" dxfId="1201" priority="1195" operator="between">
      <formula>+TODAY()</formula>
      <formula>+HOY+10</formula>
    </cfRule>
  </conditionalFormatting>
  <conditionalFormatting sqref="G15">
    <cfRule type="cellIs" dxfId="1200" priority="1199" operator="between">
      <formula>+TODAY()</formula>
      <formula>+HOY+10</formula>
    </cfRule>
  </conditionalFormatting>
  <conditionalFormatting sqref="G15">
    <cfRule type="cellIs" dxfId="1199" priority="1198" operator="between">
      <formula>+TODAY()</formula>
      <formula>+HOY+10</formula>
    </cfRule>
  </conditionalFormatting>
  <conditionalFormatting sqref="G15">
    <cfRule type="cellIs" dxfId="1198" priority="1197" operator="between">
      <formula>+TODAY()</formula>
      <formula>+HOY+10</formula>
    </cfRule>
  </conditionalFormatting>
  <conditionalFormatting sqref="G15">
    <cfRule type="cellIs" dxfId="1197" priority="1196" operator="between">
      <formula>+TODAY()</formula>
      <formula>+HOY+10</formula>
    </cfRule>
  </conditionalFormatting>
  <conditionalFormatting sqref="G16">
    <cfRule type="cellIs" dxfId="1196" priority="1177" operator="between">
      <formula>+TODAY()</formula>
      <formula>+HOY+10</formula>
    </cfRule>
  </conditionalFormatting>
  <conditionalFormatting sqref="G16">
    <cfRule type="cellIs" dxfId="1195" priority="1189" operator="between">
      <formula>+TODAY()</formula>
      <formula>+HOY+10</formula>
    </cfRule>
  </conditionalFormatting>
  <conditionalFormatting sqref="G16">
    <cfRule type="cellIs" dxfId="1194" priority="1188" operator="between">
      <formula>+TODAY()</formula>
      <formula>+HOY+10</formula>
    </cfRule>
  </conditionalFormatting>
  <conditionalFormatting sqref="G16">
    <cfRule type="cellIs" dxfId="1193" priority="1186" operator="between">
      <formula>+TODAY()</formula>
      <formula>+HOY+10</formula>
    </cfRule>
  </conditionalFormatting>
  <conditionalFormatting sqref="G16">
    <cfRule type="cellIs" dxfId="1192" priority="1187" operator="between">
      <formula>+TODAY()</formula>
      <formula>+HOY+10</formula>
    </cfRule>
  </conditionalFormatting>
  <conditionalFormatting sqref="G16">
    <cfRule type="cellIs" dxfId="1191" priority="1185" operator="between">
      <formula>+TODAY()</formula>
      <formula>+HOY+10</formula>
    </cfRule>
  </conditionalFormatting>
  <conditionalFormatting sqref="G16">
    <cfRule type="cellIs" dxfId="1190" priority="1183" operator="between">
      <formula>+TODAY()</formula>
      <formula>+HOY+10</formula>
    </cfRule>
  </conditionalFormatting>
  <conditionalFormatting sqref="G16">
    <cfRule type="cellIs" dxfId="1189" priority="1184" operator="between">
      <formula>+TODAY()</formula>
      <formula>+HOY+10</formula>
    </cfRule>
  </conditionalFormatting>
  <conditionalFormatting sqref="G16">
    <cfRule type="cellIs" dxfId="1188" priority="1181" operator="between">
      <formula>+TODAY()</formula>
      <formula>+HOY+10</formula>
    </cfRule>
  </conditionalFormatting>
  <conditionalFormatting sqref="G16">
    <cfRule type="cellIs" dxfId="1187" priority="1182" operator="between">
      <formula>+TODAY()</formula>
      <formula>+HOY+10</formula>
    </cfRule>
  </conditionalFormatting>
  <conditionalFormatting sqref="G16">
    <cfRule type="cellIs" dxfId="1186" priority="1179" operator="between">
      <formula>+TODAY()</formula>
      <formula>+HOY+10</formula>
    </cfRule>
  </conditionalFormatting>
  <conditionalFormatting sqref="G16">
    <cfRule type="cellIs" dxfId="1185" priority="1180" operator="between">
      <formula>+TODAY()</formula>
      <formula>+HOY+10</formula>
    </cfRule>
  </conditionalFormatting>
  <conditionalFormatting sqref="G16">
    <cfRule type="cellIs" dxfId="1184" priority="1178" operator="between">
      <formula>+TODAY()</formula>
      <formula>+HOY+10</formula>
    </cfRule>
  </conditionalFormatting>
  <conditionalFormatting sqref="G15">
    <cfRule type="cellIs" dxfId="1183" priority="1191" operator="between">
      <formula>+TODAY()</formula>
      <formula>+HOY+10</formula>
    </cfRule>
  </conditionalFormatting>
  <conditionalFormatting sqref="G16">
    <cfRule type="cellIs" dxfId="1182" priority="1190" operator="between">
      <formula>+TODAY()</formula>
      <formula>+HOY+10</formula>
    </cfRule>
  </conditionalFormatting>
  <conditionalFormatting sqref="G15">
    <cfRule type="cellIs" dxfId="1181" priority="1192" operator="between">
      <formula>+TODAY()</formula>
      <formula>+HOY+10</formula>
    </cfRule>
  </conditionalFormatting>
  <conditionalFormatting sqref="G16">
    <cfRule type="cellIs" dxfId="1180" priority="1176" operator="between">
      <formula>+TODAY()</formula>
      <formula>+HOY+10</formula>
    </cfRule>
  </conditionalFormatting>
  <conditionalFormatting sqref="G17">
    <cfRule type="cellIs" dxfId="1179" priority="1175" operator="between">
      <formula>+TODAY()</formula>
      <formula>+HOY+10</formula>
    </cfRule>
  </conditionalFormatting>
  <conditionalFormatting sqref="G17">
    <cfRule type="cellIs" dxfId="1178" priority="1174" operator="between">
      <formula>+TODAY()</formula>
      <formula>+HOY+10</formula>
    </cfRule>
  </conditionalFormatting>
  <conditionalFormatting sqref="G17">
    <cfRule type="cellIs" dxfId="1177" priority="1173" operator="between">
      <formula>+TODAY()</formula>
      <formula>+HOY+10</formula>
    </cfRule>
  </conditionalFormatting>
  <conditionalFormatting sqref="G17">
    <cfRule type="cellIs" dxfId="1176" priority="1171" operator="between">
      <formula>+TODAY()</formula>
      <formula>+HOY+10</formula>
    </cfRule>
  </conditionalFormatting>
  <conditionalFormatting sqref="G17">
    <cfRule type="cellIs" dxfId="1175" priority="1170" operator="between">
      <formula>+TODAY()</formula>
      <formula>+HOY+10</formula>
    </cfRule>
  </conditionalFormatting>
  <conditionalFormatting sqref="G17">
    <cfRule type="cellIs" dxfId="1174" priority="1169" operator="between">
      <formula>+TODAY()</formula>
      <formula>+HOY+10</formula>
    </cfRule>
  </conditionalFormatting>
  <conditionalFormatting sqref="G17">
    <cfRule type="cellIs" dxfId="1173" priority="1172" operator="between">
      <formula>+TODAY()</formula>
      <formula>+HOY+10</formula>
    </cfRule>
  </conditionalFormatting>
  <conditionalFormatting sqref="G17">
    <cfRule type="cellIs" dxfId="1172" priority="1163" operator="between">
      <formula>+TODAY()</formula>
      <formula>+HOY+10</formula>
    </cfRule>
  </conditionalFormatting>
  <conditionalFormatting sqref="G17">
    <cfRule type="cellIs" dxfId="1171" priority="1162" operator="between">
      <formula>+TODAY()</formula>
      <formula>+HOY+10</formula>
    </cfRule>
  </conditionalFormatting>
  <conditionalFormatting sqref="G17">
    <cfRule type="cellIs" dxfId="1170" priority="1164" operator="between">
      <formula>+TODAY()</formula>
      <formula>+HOY+10</formula>
    </cfRule>
  </conditionalFormatting>
  <conditionalFormatting sqref="G17">
    <cfRule type="cellIs" dxfId="1169" priority="1168" operator="between">
      <formula>+TODAY()</formula>
      <formula>+HOY+10</formula>
    </cfRule>
  </conditionalFormatting>
  <conditionalFormatting sqref="G17">
    <cfRule type="cellIs" dxfId="1168" priority="1167" operator="between">
      <formula>+TODAY()</formula>
      <formula>+HOY+10</formula>
    </cfRule>
  </conditionalFormatting>
  <conditionalFormatting sqref="G17">
    <cfRule type="cellIs" dxfId="1167" priority="1166" operator="between">
      <formula>+TODAY()</formula>
      <formula>+HOY+10</formula>
    </cfRule>
  </conditionalFormatting>
  <conditionalFormatting sqref="G17">
    <cfRule type="cellIs" dxfId="1166" priority="1165" operator="between">
      <formula>+TODAY()</formula>
      <formula>+HOY+10</formula>
    </cfRule>
  </conditionalFormatting>
  <conditionalFormatting sqref="G18">
    <cfRule type="cellIs" dxfId="1165" priority="1146" operator="between">
      <formula>+TODAY()</formula>
      <formula>+HOY+10</formula>
    </cfRule>
  </conditionalFormatting>
  <conditionalFormatting sqref="G18">
    <cfRule type="cellIs" dxfId="1164" priority="1158" operator="between">
      <formula>+TODAY()</formula>
      <formula>+HOY+10</formula>
    </cfRule>
  </conditionalFormatting>
  <conditionalFormatting sqref="G18">
    <cfRule type="cellIs" dxfId="1163" priority="1157" operator="between">
      <formula>+TODAY()</formula>
      <formula>+HOY+10</formula>
    </cfRule>
  </conditionalFormatting>
  <conditionalFormatting sqref="G18">
    <cfRule type="cellIs" dxfId="1162" priority="1155" operator="between">
      <formula>+TODAY()</formula>
      <formula>+HOY+10</formula>
    </cfRule>
  </conditionalFormatting>
  <conditionalFormatting sqref="G18">
    <cfRule type="cellIs" dxfId="1161" priority="1156" operator="between">
      <formula>+TODAY()</formula>
      <formula>+HOY+10</formula>
    </cfRule>
  </conditionalFormatting>
  <conditionalFormatting sqref="G18">
    <cfRule type="cellIs" dxfId="1160" priority="1154" operator="between">
      <formula>+TODAY()</formula>
      <formula>+HOY+10</formula>
    </cfRule>
  </conditionalFormatting>
  <conditionalFormatting sqref="G18">
    <cfRule type="cellIs" dxfId="1159" priority="1152" operator="between">
      <formula>+TODAY()</formula>
      <formula>+HOY+10</formula>
    </cfRule>
  </conditionalFormatting>
  <conditionalFormatting sqref="G18">
    <cfRule type="cellIs" dxfId="1158" priority="1153" operator="between">
      <formula>+TODAY()</formula>
      <formula>+HOY+10</formula>
    </cfRule>
  </conditionalFormatting>
  <conditionalFormatting sqref="G18">
    <cfRule type="cellIs" dxfId="1157" priority="1150" operator="between">
      <formula>+TODAY()</formula>
      <formula>+HOY+10</formula>
    </cfRule>
  </conditionalFormatting>
  <conditionalFormatting sqref="G18">
    <cfRule type="cellIs" dxfId="1156" priority="1151" operator="between">
      <formula>+TODAY()</formula>
      <formula>+HOY+10</formula>
    </cfRule>
  </conditionalFormatting>
  <conditionalFormatting sqref="G18">
    <cfRule type="cellIs" dxfId="1155" priority="1148" operator="between">
      <formula>+TODAY()</formula>
      <formula>+HOY+10</formula>
    </cfRule>
  </conditionalFormatting>
  <conditionalFormatting sqref="G18">
    <cfRule type="cellIs" dxfId="1154" priority="1149" operator="between">
      <formula>+TODAY()</formula>
      <formula>+HOY+10</formula>
    </cfRule>
  </conditionalFormatting>
  <conditionalFormatting sqref="G18">
    <cfRule type="cellIs" dxfId="1153" priority="1147" operator="between">
      <formula>+TODAY()</formula>
      <formula>+HOY+10</formula>
    </cfRule>
  </conditionalFormatting>
  <conditionalFormatting sqref="G18">
    <cfRule type="cellIs" dxfId="1152" priority="1160" operator="between">
      <formula>+TODAY()</formula>
      <formula>+HOY+10</formula>
    </cfRule>
  </conditionalFormatting>
  <conditionalFormatting sqref="G18">
    <cfRule type="cellIs" dxfId="1151" priority="1159" operator="between">
      <formula>+TODAY()</formula>
      <formula>+HOY+10</formula>
    </cfRule>
  </conditionalFormatting>
  <conditionalFormatting sqref="G17">
    <cfRule type="cellIs" dxfId="1150" priority="1161" operator="between">
      <formula>+TODAY()</formula>
      <formula>+HOY+10</formula>
    </cfRule>
  </conditionalFormatting>
  <conditionalFormatting sqref="G19:G20">
    <cfRule type="cellIs" dxfId="1149" priority="1145" operator="between">
      <formula>+TODAY()</formula>
      <formula>+HOY+10</formula>
    </cfRule>
  </conditionalFormatting>
  <conditionalFormatting sqref="G21">
    <cfRule type="cellIs" dxfId="1148" priority="1144" operator="between">
      <formula>+TODAY()</formula>
      <formula>+HOY+10</formula>
    </cfRule>
  </conditionalFormatting>
  <conditionalFormatting sqref="G22">
    <cfRule type="cellIs" dxfId="1147" priority="1143" operator="between">
      <formula>+TODAY()</formula>
      <formula>+HOY+10</formula>
    </cfRule>
  </conditionalFormatting>
  <conditionalFormatting sqref="G23">
    <cfRule type="cellIs" dxfId="1146" priority="1142" operator="between">
      <formula>+TODAY()</formula>
      <formula>+HOY+10</formula>
    </cfRule>
  </conditionalFormatting>
  <conditionalFormatting sqref="M21:M24">
    <cfRule type="cellIs" dxfId="1145" priority="1140" operator="between">
      <formula>+TODAY()</formula>
      <formula>+HOY+10</formula>
    </cfRule>
  </conditionalFormatting>
  <conditionalFormatting sqref="G25">
    <cfRule type="cellIs" dxfId="1144" priority="1139" operator="between">
      <formula>+TODAY()</formula>
      <formula>+HOY+10</formula>
    </cfRule>
  </conditionalFormatting>
  <conditionalFormatting sqref="M25">
    <cfRule type="cellIs" dxfId="1143" priority="1138" operator="between">
      <formula>+TODAY()</formula>
      <formula>+HOY+10</formula>
    </cfRule>
  </conditionalFormatting>
  <conditionalFormatting sqref="G24">
    <cfRule type="cellIs" dxfId="1142" priority="1141" operator="between">
      <formula>+TODAY()</formula>
      <formula>+HOY+10</formula>
    </cfRule>
  </conditionalFormatting>
  <conditionalFormatting sqref="L2:L25">
    <cfRule type="cellIs" dxfId="1141" priority="1132" operator="between">
      <formula>+TODAY()</formula>
      <formula>+HOY+10</formula>
    </cfRule>
  </conditionalFormatting>
  <conditionalFormatting sqref="L2:L25">
    <cfRule type="cellIs" dxfId="1140" priority="1131" operator="between">
      <formula>+TODAY()</formula>
      <formula>+HOY+10</formula>
    </cfRule>
  </conditionalFormatting>
  <conditionalFormatting sqref="L2:L25">
    <cfRule type="cellIs" dxfId="1139" priority="1133" operator="between">
      <formula>+TODAY()</formula>
      <formula>+HOY+10</formula>
    </cfRule>
  </conditionalFormatting>
  <conditionalFormatting sqref="L2:L25">
    <cfRule type="cellIs" dxfId="1138" priority="1137" operator="between">
      <formula>+TODAY()</formula>
      <formula>+HOY+10</formula>
    </cfRule>
  </conditionalFormatting>
  <conditionalFormatting sqref="L2:L25">
    <cfRule type="cellIs" dxfId="1137" priority="1136" operator="between">
      <formula>+TODAY()</formula>
      <formula>+HOY+10</formula>
    </cfRule>
  </conditionalFormatting>
  <conditionalFormatting sqref="L2:L25">
    <cfRule type="cellIs" dxfId="1136" priority="1135" operator="between">
      <formula>+TODAY()</formula>
      <formula>+HOY+10</formula>
    </cfRule>
  </conditionalFormatting>
  <conditionalFormatting sqref="L2:L25">
    <cfRule type="cellIs" dxfId="1135" priority="1134" operator="between">
      <formula>+TODAY()</formula>
      <formula>+HOY+10</formula>
    </cfRule>
  </conditionalFormatting>
  <conditionalFormatting sqref="L2:L25">
    <cfRule type="cellIs" dxfId="1134" priority="1130" operator="between">
      <formula>+TODAY()</formula>
      <formula>+HOY+10</formula>
    </cfRule>
  </conditionalFormatting>
  <conditionalFormatting sqref="L2:L25">
    <cfRule type="cellIs" dxfId="1133" priority="1126" operator="between">
      <formula>+TODAY()</formula>
      <formula>+HOY+10</formula>
    </cfRule>
  </conditionalFormatting>
  <conditionalFormatting sqref="L2:L25">
    <cfRule type="cellIs" dxfId="1132" priority="1125" operator="between">
      <formula>+TODAY()</formula>
      <formula>+HOY+10</formula>
    </cfRule>
  </conditionalFormatting>
  <conditionalFormatting sqref="L2:L25">
    <cfRule type="cellIs" dxfId="1131" priority="1127" operator="between">
      <formula>+TODAY()</formula>
      <formula>+HOY+10</formula>
    </cfRule>
  </conditionalFormatting>
  <conditionalFormatting sqref="L2:L25">
    <cfRule type="cellIs" dxfId="1130" priority="1129" operator="between">
      <formula>+TODAY()</formula>
      <formula>+HOY+10</formula>
    </cfRule>
  </conditionalFormatting>
  <conditionalFormatting sqref="L2:L25">
    <cfRule type="cellIs" dxfId="1129" priority="1128" operator="between">
      <formula>+TODAY()</formula>
      <formula>+HOY+10</formula>
    </cfRule>
  </conditionalFormatting>
  <conditionalFormatting sqref="L2:L25">
    <cfRule type="cellIs" dxfId="1128" priority="1124" operator="between">
      <formula>+TODAY()</formula>
      <formula>+HOY+10</formula>
    </cfRule>
  </conditionalFormatting>
  <conditionalFormatting sqref="L2:L25">
    <cfRule type="cellIs" dxfId="1127" priority="1123" operator="between">
      <formula>+TODAY()</formula>
      <formula>+HOY+10</formula>
    </cfRule>
  </conditionalFormatting>
  <conditionalFormatting sqref="L2:L25">
    <cfRule type="cellIs" dxfId="1126" priority="1121" operator="between">
      <formula>+TODAY()</formula>
      <formula>+HOY+10</formula>
    </cfRule>
  </conditionalFormatting>
  <conditionalFormatting sqref="L2:L25">
    <cfRule type="cellIs" dxfId="1125" priority="1122" operator="between">
      <formula>+TODAY()</formula>
      <formula>+HOY+10</formula>
    </cfRule>
  </conditionalFormatting>
  <conditionalFormatting sqref="L2:L25">
    <cfRule type="cellIs" dxfId="1124" priority="1120" operator="between">
      <formula>+TODAY()</formula>
      <formula>+HOY+10</formula>
    </cfRule>
  </conditionalFormatting>
  <conditionalFormatting sqref="L2:L25">
    <cfRule type="cellIs" dxfId="1123" priority="1118" operator="between">
      <formula>+TODAY()</formula>
      <formula>+HOY+10</formula>
    </cfRule>
  </conditionalFormatting>
  <conditionalFormatting sqref="L2:L25">
    <cfRule type="cellIs" dxfId="1122" priority="1119" operator="between">
      <formula>+TODAY()</formula>
      <formula>+HOY+10</formula>
    </cfRule>
  </conditionalFormatting>
  <conditionalFormatting sqref="L2:L25">
    <cfRule type="cellIs" dxfId="1121" priority="1116" operator="between">
      <formula>+TODAY()</formula>
      <formula>+HOY+10</formula>
    </cfRule>
  </conditionalFormatting>
  <conditionalFormatting sqref="L2:L25">
    <cfRule type="cellIs" dxfId="1120" priority="1117" operator="between">
      <formula>+TODAY()</formula>
      <formula>+HOY+10</formula>
    </cfRule>
  </conditionalFormatting>
  <conditionalFormatting sqref="L2:L25">
    <cfRule type="cellIs" dxfId="1119" priority="1115" operator="between">
      <formula>+TODAY()</formula>
      <formula>+HOY+10</formula>
    </cfRule>
  </conditionalFormatting>
  <conditionalFormatting sqref="L26:L28">
    <cfRule type="cellIs" dxfId="1118" priority="1096" operator="between">
      <formula>+TODAY()</formula>
      <formula>+HOY+10</formula>
    </cfRule>
  </conditionalFormatting>
  <conditionalFormatting sqref="L26:L28">
    <cfRule type="cellIs" dxfId="1117" priority="1095" operator="between">
      <formula>+TODAY()</formula>
      <formula>+HOY+10</formula>
    </cfRule>
  </conditionalFormatting>
  <conditionalFormatting sqref="L26:L28">
    <cfRule type="cellIs" dxfId="1116" priority="1097" operator="between">
      <formula>+TODAY()</formula>
      <formula>+HOY+10</formula>
    </cfRule>
  </conditionalFormatting>
  <conditionalFormatting sqref="L26:L28">
    <cfRule type="cellIs" dxfId="1115" priority="1099" operator="between">
      <formula>+TODAY()</formula>
      <formula>+HOY+10</formula>
    </cfRule>
  </conditionalFormatting>
  <conditionalFormatting sqref="L26:L28">
    <cfRule type="cellIs" dxfId="1114" priority="1098" operator="between">
      <formula>+TODAY()</formula>
      <formula>+HOY+10</formula>
    </cfRule>
  </conditionalFormatting>
  <conditionalFormatting sqref="L26:L28">
    <cfRule type="cellIs" dxfId="1113" priority="1094" operator="between">
      <formula>+TODAY()</formula>
      <formula>+HOY+10</formula>
    </cfRule>
  </conditionalFormatting>
  <conditionalFormatting sqref="L26:L28">
    <cfRule type="cellIs" dxfId="1112" priority="1093" operator="between">
      <formula>+TODAY()</formula>
      <formula>+HOY+10</formula>
    </cfRule>
  </conditionalFormatting>
  <conditionalFormatting sqref="L26:L28">
    <cfRule type="cellIs" dxfId="1111" priority="1092" operator="between">
      <formula>+TODAY()</formula>
      <formula>+HOY+10</formula>
    </cfRule>
  </conditionalFormatting>
  <conditionalFormatting sqref="L26:L28">
    <cfRule type="cellIs" dxfId="1110" priority="1091" operator="between">
      <formula>+TODAY()</formula>
      <formula>+HOY+10</formula>
    </cfRule>
  </conditionalFormatting>
  <conditionalFormatting sqref="L26:L28">
    <cfRule type="cellIs" dxfId="1109" priority="1089" operator="between">
      <formula>+TODAY()</formula>
      <formula>+HOY+10</formula>
    </cfRule>
  </conditionalFormatting>
  <conditionalFormatting sqref="L26:L28">
    <cfRule type="cellIs" dxfId="1108" priority="1088" operator="between">
      <formula>+TODAY()</formula>
      <formula>+HOY+10</formula>
    </cfRule>
  </conditionalFormatting>
  <conditionalFormatting sqref="L26:L28">
    <cfRule type="cellIs" dxfId="1107" priority="1087" operator="between">
      <formula>+TODAY()</formula>
      <formula>+HOY+10</formula>
    </cfRule>
  </conditionalFormatting>
  <conditionalFormatting sqref="L26:L28">
    <cfRule type="cellIs" dxfId="1106" priority="1090" operator="between">
      <formula>+TODAY()</formula>
      <formula>+HOY+10</formula>
    </cfRule>
  </conditionalFormatting>
  <conditionalFormatting sqref="L26:L28">
    <cfRule type="cellIs" dxfId="1105" priority="1086" operator="between">
      <formula>+TODAY()</formula>
      <formula>+HOY+10</formula>
    </cfRule>
  </conditionalFormatting>
  <conditionalFormatting sqref="L26:L28">
    <cfRule type="cellIs" dxfId="1104" priority="1085" operator="between">
      <formula>+TODAY()</formula>
      <formula>+HOY+10</formula>
    </cfRule>
  </conditionalFormatting>
  <conditionalFormatting sqref="L2:L25">
    <cfRule type="cellIs" dxfId="1103" priority="1114" operator="between">
      <formula>+TODAY()</formula>
      <formula>+HOY+10</formula>
    </cfRule>
  </conditionalFormatting>
  <conditionalFormatting sqref="L2:L25">
    <cfRule type="cellIs" dxfId="1102" priority="1113" operator="between">
      <formula>+TODAY()</formula>
      <formula>+HOY+10</formula>
    </cfRule>
  </conditionalFormatting>
  <conditionalFormatting sqref="L2:L25">
    <cfRule type="cellIs" dxfId="1101" priority="1112" operator="between">
      <formula>+TODAY()</formula>
      <formula>+HOY+10</formula>
    </cfRule>
  </conditionalFormatting>
  <conditionalFormatting sqref="L2:L25">
    <cfRule type="cellIs" dxfId="1100" priority="1111" operator="between">
      <formula>+TODAY()</formula>
      <formula>+HOY+10</formula>
    </cfRule>
  </conditionalFormatting>
  <conditionalFormatting sqref="L2:L25">
    <cfRule type="cellIs" dxfId="1099" priority="1110" operator="between">
      <formula>+TODAY()</formula>
      <formula>+HOY+10</formula>
    </cfRule>
  </conditionalFormatting>
  <conditionalFormatting sqref="L2:L25">
    <cfRule type="cellIs" dxfId="1098" priority="1109" operator="between">
      <formula>+TODAY()</formula>
      <formula>+HOY+10</formula>
    </cfRule>
  </conditionalFormatting>
  <conditionalFormatting sqref="L2:L25">
    <cfRule type="cellIs" dxfId="1097" priority="1108" operator="between">
      <formula>+TODAY()</formula>
      <formula>+HOY+10</formula>
    </cfRule>
  </conditionalFormatting>
  <conditionalFormatting sqref="L2:L25">
    <cfRule type="cellIs" dxfId="1096" priority="1107" operator="between">
      <formula>+TODAY()</formula>
      <formula>+HOY+10</formula>
    </cfRule>
  </conditionalFormatting>
  <conditionalFormatting sqref="M26 G26">
    <cfRule type="cellIs" dxfId="1095" priority="1106" operator="between">
      <formula>+TODAY()</formula>
      <formula>+HOY+10</formula>
    </cfRule>
  </conditionalFormatting>
  <conditionalFormatting sqref="M27">
    <cfRule type="cellIs" dxfId="1094" priority="1104" operator="between">
      <formula>+TODAY()</formula>
      <formula>+HOY+10</formula>
    </cfRule>
  </conditionalFormatting>
  <conditionalFormatting sqref="M28">
    <cfRule type="cellIs" dxfId="1093" priority="1103" operator="between">
      <formula>+TODAY()</formula>
      <formula>+HOY+10</formula>
    </cfRule>
  </conditionalFormatting>
  <conditionalFormatting sqref="G28">
    <cfRule type="cellIs" dxfId="1092" priority="1102" operator="between">
      <formula>+TODAY()</formula>
      <formula>+HOY+10</formula>
    </cfRule>
  </conditionalFormatting>
  <conditionalFormatting sqref="L26:L28">
    <cfRule type="cellIs" dxfId="1091" priority="1101" operator="between">
      <formula>+TODAY()</formula>
      <formula>+HOY+10</formula>
    </cfRule>
  </conditionalFormatting>
  <conditionalFormatting sqref="L26:L28">
    <cfRule type="cellIs" dxfId="1090" priority="1100" operator="between">
      <formula>+TODAY()</formula>
      <formula>+HOY+10</formula>
    </cfRule>
  </conditionalFormatting>
  <conditionalFormatting sqref="G27">
    <cfRule type="cellIs" dxfId="1089" priority="1105" operator="between">
      <formula>+TODAY()</formula>
      <formula>+HOY+10</formula>
    </cfRule>
  </conditionalFormatting>
  <conditionalFormatting sqref="L26:L28">
    <cfRule type="cellIs" dxfId="1088" priority="1084" operator="between">
      <formula>+TODAY()</formula>
      <formula>+HOY+10</formula>
    </cfRule>
  </conditionalFormatting>
  <conditionalFormatting sqref="L26:L28">
    <cfRule type="cellIs" dxfId="1087" priority="1083" operator="between">
      <formula>+TODAY()</formula>
      <formula>+HOY+10</formula>
    </cfRule>
  </conditionalFormatting>
  <conditionalFormatting sqref="L26:L28">
    <cfRule type="cellIs" dxfId="1086" priority="1082" operator="between">
      <formula>+TODAY()</formula>
      <formula>+HOY+10</formula>
    </cfRule>
  </conditionalFormatting>
  <conditionalFormatting sqref="L26:L28">
    <cfRule type="cellIs" dxfId="1085" priority="1081" operator="between">
      <formula>+TODAY()</formula>
      <formula>+HOY+10</formula>
    </cfRule>
  </conditionalFormatting>
  <conditionalFormatting sqref="L26:L28">
    <cfRule type="cellIs" dxfId="1084" priority="1080" operator="between">
      <formula>+TODAY()</formula>
      <formula>+HOY+10</formula>
    </cfRule>
  </conditionalFormatting>
  <conditionalFormatting sqref="L26:L28">
    <cfRule type="cellIs" dxfId="1083" priority="1079" operator="between">
      <formula>+TODAY()</formula>
      <formula>+HOY+10</formula>
    </cfRule>
  </conditionalFormatting>
  <conditionalFormatting sqref="L26:L28">
    <cfRule type="cellIs" dxfId="1082" priority="1078" operator="between">
      <formula>+TODAY()</formula>
      <formula>+HOY+10</formula>
    </cfRule>
  </conditionalFormatting>
  <conditionalFormatting sqref="L26:L28">
    <cfRule type="cellIs" dxfId="1081" priority="1077" operator="between">
      <formula>+TODAY()</formula>
      <formula>+HOY+10</formula>
    </cfRule>
  </conditionalFormatting>
  <conditionalFormatting sqref="L26:L28">
    <cfRule type="cellIs" dxfId="1080" priority="1076" operator="between">
      <formula>+TODAY()</formula>
      <formula>+HOY+10</formula>
    </cfRule>
  </conditionalFormatting>
  <conditionalFormatting sqref="L26:L28">
    <cfRule type="cellIs" dxfId="1079" priority="1075" operator="between">
      <formula>+TODAY()</formula>
      <formula>+HOY+10</formula>
    </cfRule>
  </conditionalFormatting>
  <conditionalFormatting sqref="L26:L28">
    <cfRule type="cellIs" dxfId="1078" priority="1073" operator="between">
      <formula>+TODAY()</formula>
      <formula>+HOY+10</formula>
    </cfRule>
  </conditionalFormatting>
  <conditionalFormatting sqref="L26:L28">
    <cfRule type="cellIs" dxfId="1077" priority="1072" operator="between">
      <formula>+TODAY()</formula>
      <formula>+HOY+10</formula>
    </cfRule>
  </conditionalFormatting>
  <conditionalFormatting sqref="L26:L28">
    <cfRule type="cellIs" dxfId="1076" priority="1071" operator="between">
      <formula>+TODAY()</formula>
      <formula>+HOY+10</formula>
    </cfRule>
  </conditionalFormatting>
  <conditionalFormatting sqref="L26:L28">
    <cfRule type="cellIs" dxfId="1075" priority="1074" operator="between">
      <formula>+TODAY()</formula>
      <formula>+HOY+10</formula>
    </cfRule>
  </conditionalFormatting>
  <conditionalFormatting sqref="G29">
    <cfRule type="cellIs" dxfId="1074" priority="1070" operator="between">
      <formula>+TODAY()</formula>
      <formula>+HOY+10</formula>
    </cfRule>
  </conditionalFormatting>
  <conditionalFormatting sqref="L29">
    <cfRule type="cellIs" dxfId="1073" priority="1069" operator="between">
      <formula>+TODAY()</formula>
      <formula>+HOY+10</formula>
    </cfRule>
  </conditionalFormatting>
  <conditionalFormatting sqref="L29">
    <cfRule type="cellIs" dxfId="1072" priority="1068" operator="between">
      <formula>+TODAY()</formula>
      <formula>+HOY+10</formula>
    </cfRule>
  </conditionalFormatting>
  <conditionalFormatting sqref="L29">
    <cfRule type="cellIs" dxfId="1071" priority="1067" operator="between">
      <formula>+TODAY()</formula>
      <formula>+HOY+10</formula>
    </cfRule>
  </conditionalFormatting>
  <conditionalFormatting sqref="L29">
    <cfRule type="cellIs" dxfId="1070" priority="1066" operator="between">
      <formula>+TODAY()</formula>
      <formula>+HOY+10</formula>
    </cfRule>
  </conditionalFormatting>
  <conditionalFormatting sqref="L29">
    <cfRule type="cellIs" dxfId="1069" priority="1065" operator="between">
      <formula>+TODAY()</formula>
      <formula>+HOY+10</formula>
    </cfRule>
  </conditionalFormatting>
  <conditionalFormatting sqref="L29">
    <cfRule type="cellIs" dxfId="1068" priority="1064" operator="between">
      <formula>+TODAY()</formula>
      <formula>+HOY+10</formula>
    </cfRule>
  </conditionalFormatting>
  <conditionalFormatting sqref="L29">
    <cfRule type="cellIs" dxfId="1067" priority="1063" operator="between">
      <formula>+TODAY()</formula>
      <formula>+HOY+10</formula>
    </cfRule>
  </conditionalFormatting>
  <conditionalFormatting sqref="L29">
    <cfRule type="cellIs" dxfId="1066" priority="1062" operator="between">
      <formula>+TODAY()</formula>
      <formula>+HOY+10</formula>
    </cfRule>
  </conditionalFormatting>
  <conditionalFormatting sqref="L29">
    <cfRule type="cellIs" dxfId="1065" priority="1061" operator="between">
      <formula>+TODAY()</formula>
      <formula>+HOY+10</formula>
    </cfRule>
  </conditionalFormatting>
  <conditionalFormatting sqref="L29">
    <cfRule type="cellIs" dxfId="1064" priority="1060" operator="between">
      <formula>+TODAY()</formula>
      <formula>+HOY+10</formula>
    </cfRule>
  </conditionalFormatting>
  <conditionalFormatting sqref="L29">
    <cfRule type="cellIs" dxfId="1063" priority="1059" operator="between">
      <formula>+TODAY()</formula>
      <formula>+HOY+10</formula>
    </cfRule>
  </conditionalFormatting>
  <conditionalFormatting sqref="L29">
    <cfRule type="cellIs" dxfId="1062" priority="1058" operator="between">
      <formula>+TODAY()</formula>
      <formula>+HOY+10</formula>
    </cfRule>
  </conditionalFormatting>
  <conditionalFormatting sqref="L29">
    <cfRule type="cellIs" dxfId="1061" priority="1057" operator="between">
      <formula>+TODAY()</formula>
      <formula>+HOY+10</formula>
    </cfRule>
  </conditionalFormatting>
  <conditionalFormatting sqref="L29">
    <cfRule type="cellIs" dxfId="1060" priority="1056" operator="between">
      <formula>+TODAY()</formula>
      <formula>+HOY+10</formula>
    </cfRule>
  </conditionalFormatting>
  <conditionalFormatting sqref="L29">
    <cfRule type="cellIs" dxfId="1059" priority="1055" operator="between">
      <formula>+TODAY()</formula>
      <formula>+HOY+10</formula>
    </cfRule>
  </conditionalFormatting>
  <conditionalFormatting sqref="L29">
    <cfRule type="cellIs" dxfId="1058" priority="1054" operator="between">
      <formula>+TODAY()</formula>
      <formula>+HOY+10</formula>
    </cfRule>
  </conditionalFormatting>
  <conditionalFormatting sqref="L29">
    <cfRule type="cellIs" dxfId="1057" priority="1053" operator="between">
      <formula>+TODAY()</formula>
      <formula>+HOY+10</formula>
    </cfRule>
  </conditionalFormatting>
  <conditionalFormatting sqref="L29">
    <cfRule type="cellIs" dxfId="1056" priority="1052" operator="between">
      <formula>+TODAY()</formula>
      <formula>+HOY+10</formula>
    </cfRule>
  </conditionalFormatting>
  <conditionalFormatting sqref="L29">
    <cfRule type="cellIs" dxfId="1055" priority="1051" operator="between">
      <formula>+TODAY()</formula>
      <formula>+HOY+10</formula>
    </cfRule>
  </conditionalFormatting>
  <conditionalFormatting sqref="L29">
    <cfRule type="cellIs" dxfId="1054" priority="1050" operator="between">
      <formula>+TODAY()</formula>
      <formula>+HOY+10</formula>
    </cfRule>
  </conditionalFormatting>
  <conditionalFormatting sqref="L29">
    <cfRule type="cellIs" dxfId="1053" priority="1049" operator="between">
      <formula>+TODAY()</formula>
      <formula>+HOY+10</formula>
    </cfRule>
  </conditionalFormatting>
  <conditionalFormatting sqref="L29">
    <cfRule type="cellIs" dxfId="1052" priority="1048" operator="between">
      <formula>+TODAY()</formula>
      <formula>+HOY+10</formula>
    </cfRule>
  </conditionalFormatting>
  <conditionalFormatting sqref="L29">
    <cfRule type="cellIs" dxfId="1051" priority="1047" operator="between">
      <formula>+TODAY()</formula>
      <formula>+HOY+10</formula>
    </cfRule>
  </conditionalFormatting>
  <conditionalFormatting sqref="L29">
    <cfRule type="cellIs" dxfId="1050" priority="1046" operator="between">
      <formula>+TODAY()</formula>
      <formula>+HOY+10</formula>
    </cfRule>
  </conditionalFormatting>
  <conditionalFormatting sqref="L29">
    <cfRule type="cellIs" dxfId="1049" priority="1045" operator="between">
      <formula>+TODAY()</formula>
      <formula>+HOY+10</formula>
    </cfRule>
  </conditionalFormatting>
  <conditionalFormatting sqref="L29">
    <cfRule type="cellIs" dxfId="1048" priority="1044" operator="between">
      <formula>+TODAY()</formula>
      <formula>+HOY+10</formula>
    </cfRule>
  </conditionalFormatting>
  <conditionalFormatting sqref="L29">
    <cfRule type="cellIs" dxfId="1047" priority="1043" operator="between">
      <formula>+TODAY()</formula>
      <formula>+HOY+10</formula>
    </cfRule>
  </conditionalFormatting>
  <conditionalFormatting sqref="L29">
    <cfRule type="cellIs" dxfId="1046" priority="1042" operator="between">
      <formula>+TODAY()</formula>
      <formula>+HOY+10</formula>
    </cfRule>
  </conditionalFormatting>
  <conditionalFormatting sqref="L29">
    <cfRule type="cellIs" dxfId="1045" priority="1041" operator="between">
      <formula>+TODAY()</formula>
      <formula>+HOY+10</formula>
    </cfRule>
  </conditionalFormatting>
  <conditionalFormatting sqref="L29">
    <cfRule type="cellIs" dxfId="1044" priority="1040" operator="between">
      <formula>+TODAY()</formula>
      <formula>+HOY+10</formula>
    </cfRule>
  </conditionalFormatting>
  <conditionalFormatting sqref="L29">
    <cfRule type="cellIs" dxfId="1043" priority="1039" operator="between">
      <formula>+TODAY()</formula>
      <formula>+HOY+10</formula>
    </cfRule>
  </conditionalFormatting>
  <conditionalFormatting sqref="M29">
    <cfRule type="cellIs" dxfId="1042" priority="1038" operator="between">
      <formula>+TODAY()</formula>
      <formula>+HOY+10</formula>
    </cfRule>
  </conditionalFormatting>
  <conditionalFormatting sqref="M29">
    <cfRule type="cellIs" dxfId="1041" priority="1037" operator="between">
      <formula>+TODAY()</formula>
      <formula>+HOY+10</formula>
    </cfRule>
  </conditionalFormatting>
  <conditionalFormatting sqref="D29">
    <cfRule type="cellIs" dxfId="1040" priority="988" operator="between">
      <formula>+TODAY()</formula>
      <formula>+HOY+10</formula>
    </cfRule>
  </conditionalFormatting>
  <conditionalFormatting sqref="D29">
    <cfRule type="cellIs" dxfId="1039" priority="987" operator="between">
      <formula>+TODAY()</formula>
      <formula>+HOY+10</formula>
    </cfRule>
  </conditionalFormatting>
  <conditionalFormatting sqref="D29">
    <cfRule type="cellIs" dxfId="1038" priority="985" operator="between">
      <formula>+TODAY()</formula>
      <formula>+HOY+10</formula>
    </cfRule>
  </conditionalFormatting>
  <conditionalFormatting sqref="D29">
    <cfRule type="cellIs" dxfId="1037" priority="984" operator="between">
      <formula>+TODAY()</formula>
      <formula>+HOY+10</formula>
    </cfRule>
  </conditionalFormatting>
  <conditionalFormatting sqref="D29">
    <cfRule type="cellIs" dxfId="1036" priority="986" operator="between">
      <formula>+TODAY()</formula>
      <formula>+HOY+10</formula>
    </cfRule>
  </conditionalFormatting>
  <conditionalFormatting sqref="D29">
    <cfRule type="cellIs" dxfId="1035" priority="983" operator="between">
      <formula>+TODAY()</formula>
      <formula>+HOY+10</formula>
    </cfRule>
  </conditionalFormatting>
  <conditionalFormatting sqref="D29">
    <cfRule type="cellIs" dxfId="1034" priority="982" operator="between">
      <formula>+TODAY()</formula>
      <formula>+HOY+10</formula>
    </cfRule>
  </conditionalFormatting>
  <conditionalFormatting sqref="D29">
    <cfRule type="cellIs" dxfId="1033" priority="981" operator="between">
      <formula>+TODAY()</formula>
      <formula>+HOY+10</formula>
    </cfRule>
  </conditionalFormatting>
  <conditionalFormatting sqref="D29">
    <cfRule type="cellIs" dxfId="1032" priority="980" operator="between">
      <formula>+TODAY()</formula>
      <formula>+HOY+10</formula>
    </cfRule>
  </conditionalFormatting>
  <conditionalFormatting sqref="D29">
    <cfRule type="cellIs" dxfId="1031" priority="978" operator="between">
      <formula>+TODAY()</formula>
      <formula>+HOY+10</formula>
    </cfRule>
  </conditionalFormatting>
  <conditionalFormatting sqref="D29">
    <cfRule type="cellIs" dxfId="1030" priority="977" operator="between">
      <formula>+TODAY()</formula>
      <formula>+HOY+10</formula>
    </cfRule>
  </conditionalFormatting>
  <conditionalFormatting sqref="B29">
    <cfRule type="cellIs" dxfId="1029" priority="976" operator="between">
      <formula>+TODAY()</formula>
      <formula>+HOY+10</formula>
    </cfRule>
  </conditionalFormatting>
  <conditionalFormatting sqref="D29">
    <cfRule type="cellIs" dxfId="1028" priority="979" operator="between">
      <formula>+TODAY()</formula>
      <formula>+HOY+10</formula>
    </cfRule>
  </conditionalFormatting>
  <conditionalFormatting sqref="B29">
    <cfRule type="cellIs" dxfId="1027" priority="975" operator="between">
      <formula>+TODAY()</formula>
      <formula>+HOY+10</formula>
    </cfRule>
  </conditionalFormatting>
  <conditionalFormatting sqref="D29">
    <cfRule type="cellIs" dxfId="1026" priority="1003" operator="between">
      <formula>+TODAY()</formula>
      <formula>+HOY+10</formula>
    </cfRule>
  </conditionalFormatting>
  <conditionalFormatting sqref="D29">
    <cfRule type="cellIs" dxfId="1025" priority="1002" operator="between">
      <formula>+TODAY()</formula>
      <formula>+HOY+10</formula>
    </cfRule>
  </conditionalFormatting>
  <conditionalFormatting sqref="D29">
    <cfRule type="cellIs" dxfId="1024" priority="1004" operator="between">
      <formula>+TODAY()</formula>
      <formula>+HOY+10</formula>
    </cfRule>
  </conditionalFormatting>
  <conditionalFormatting sqref="D29">
    <cfRule type="cellIs" dxfId="1023" priority="1006" operator="between">
      <formula>+TODAY()</formula>
      <formula>+HOY+10</formula>
    </cfRule>
  </conditionalFormatting>
  <conditionalFormatting sqref="D29">
    <cfRule type="cellIs" dxfId="1022" priority="1005" operator="between">
      <formula>+TODAY()</formula>
      <formula>+HOY+10</formula>
    </cfRule>
  </conditionalFormatting>
  <conditionalFormatting sqref="D29">
    <cfRule type="cellIs" dxfId="1021" priority="1001" operator="between">
      <formula>+TODAY()</formula>
      <formula>+HOY+10</formula>
    </cfRule>
  </conditionalFormatting>
  <conditionalFormatting sqref="D29">
    <cfRule type="cellIs" dxfId="1020" priority="1000" operator="between">
      <formula>+TODAY()</formula>
      <formula>+HOY+10</formula>
    </cfRule>
  </conditionalFormatting>
  <conditionalFormatting sqref="D29">
    <cfRule type="cellIs" dxfId="1019" priority="999" operator="between">
      <formula>+TODAY()</formula>
      <formula>+HOY+10</formula>
    </cfRule>
  </conditionalFormatting>
  <conditionalFormatting sqref="D29">
    <cfRule type="cellIs" dxfId="1018" priority="998" operator="between">
      <formula>+TODAY()</formula>
      <formula>+HOY+10</formula>
    </cfRule>
  </conditionalFormatting>
  <conditionalFormatting sqref="D29">
    <cfRule type="cellIs" dxfId="1017" priority="996" operator="between">
      <formula>+TODAY()</formula>
      <formula>+HOY+10</formula>
    </cfRule>
  </conditionalFormatting>
  <conditionalFormatting sqref="D29">
    <cfRule type="cellIs" dxfId="1016" priority="995" operator="between">
      <formula>+TODAY()</formula>
      <formula>+HOY+10</formula>
    </cfRule>
  </conditionalFormatting>
  <conditionalFormatting sqref="D29">
    <cfRule type="cellIs" dxfId="1015" priority="994" operator="between">
      <formula>+TODAY()</formula>
      <formula>+HOY+10</formula>
    </cfRule>
  </conditionalFormatting>
  <conditionalFormatting sqref="D29">
    <cfRule type="cellIs" dxfId="1014" priority="997" operator="between">
      <formula>+TODAY()</formula>
      <formula>+HOY+10</formula>
    </cfRule>
  </conditionalFormatting>
  <conditionalFormatting sqref="D29">
    <cfRule type="cellIs" dxfId="1013" priority="993" operator="between">
      <formula>+TODAY()</formula>
      <formula>+HOY+10</formula>
    </cfRule>
  </conditionalFormatting>
  <conditionalFormatting sqref="D29">
    <cfRule type="cellIs" dxfId="1012" priority="992" operator="between">
      <formula>+TODAY()</formula>
      <formula>+HOY+10</formula>
    </cfRule>
  </conditionalFormatting>
  <conditionalFormatting sqref="D29">
    <cfRule type="cellIs" dxfId="1011" priority="991" operator="between">
      <formula>+TODAY()</formula>
      <formula>+HOY+10</formula>
    </cfRule>
  </conditionalFormatting>
  <conditionalFormatting sqref="D29">
    <cfRule type="cellIs" dxfId="1010" priority="990" operator="between">
      <formula>+TODAY()</formula>
      <formula>+HOY+10</formula>
    </cfRule>
  </conditionalFormatting>
  <conditionalFormatting sqref="D29">
    <cfRule type="cellIs" dxfId="1009" priority="989" operator="between">
      <formula>+TODAY()</formula>
      <formula>+HOY+10</formula>
    </cfRule>
  </conditionalFormatting>
  <conditionalFormatting sqref="B29">
    <cfRule type="cellIs" dxfId="1008" priority="973" operator="between">
      <formula>+TODAY()</formula>
      <formula>+HOY+10</formula>
    </cfRule>
  </conditionalFormatting>
  <conditionalFormatting sqref="B29">
    <cfRule type="cellIs" dxfId="1007" priority="972" operator="between">
      <formula>+TODAY()</formula>
      <formula>+HOY+10</formula>
    </cfRule>
  </conditionalFormatting>
  <conditionalFormatting sqref="B29">
    <cfRule type="cellIs" dxfId="1006" priority="967" operator="between">
      <formula>+TODAY()</formula>
      <formula>+HOY+10</formula>
    </cfRule>
  </conditionalFormatting>
  <conditionalFormatting sqref="B29">
    <cfRule type="cellIs" dxfId="1005" priority="966" operator="between">
      <formula>+TODAY()</formula>
      <formula>+HOY+10</formula>
    </cfRule>
  </conditionalFormatting>
  <conditionalFormatting sqref="B29">
    <cfRule type="cellIs" dxfId="1004" priority="968" operator="between">
      <formula>+TODAY()</formula>
      <formula>+HOY+10</formula>
    </cfRule>
  </conditionalFormatting>
  <conditionalFormatting sqref="B29">
    <cfRule type="cellIs" dxfId="1003" priority="962" operator="between">
      <formula>+TODAY()</formula>
      <formula>+HOY+10</formula>
    </cfRule>
  </conditionalFormatting>
  <conditionalFormatting sqref="B29">
    <cfRule type="cellIs" dxfId="1002" priority="961" operator="between">
      <formula>+TODAY()</formula>
      <formula>+HOY+10</formula>
    </cfRule>
  </conditionalFormatting>
  <conditionalFormatting sqref="B29">
    <cfRule type="cellIs" dxfId="1001" priority="963" operator="between">
      <formula>+TODAY()</formula>
      <formula>+HOY+10</formula>
    </cfRule>
  </conditionalFormatting>
  <conditionalFormatting sqref="B29">
    <cfRule type="cellIs" dxfId="1000" priority="965" operator="between">
      <formula>+TODAY()</formula>
      <formula>+HOY+10</formula>
    </cfRule>
  </conditionalFormatting>
  <conditionalFormatting sqref="B29">
    <cfRule type="cellIs" dxfId="999" priority="964" operator="between">
      <formula>+TODAY()</formula>
      <formula>+HOY+10</formula>
    </cfRule>
  </conditionalFormatting>
  <conditionalFormatting sqref="B29">
    <cfRule type="cellIs" dxfId="998" priority="960" operator="between">
      <formula>+TODAY()</formula>
      <formula>+HOY+10</formula>
    </cfRule>
  </conditionalFormatting>
  <conditionalFormatting sqref="B29">
    <cfRule type="cellIs" dxfId="997" priority="959" operator="between">
      <formula>+TODAY()</formula>
      <formula>+HOY+10</formula>
    </cfRule>
  </conditionalFormatting>
  <conditionalFormatting sqref="B29">
    <cfRule type="cellIs" dxfId="996" priority="957" operator="between">
      <formula>+TODAY()</formula>
      <formula>+HOY+10</formula>
    </cfRule>
  </conditionalFormatting>
  <conditionalFormatting sqref="B29">
    <cfRule type="cellIs" dxfId="995" priority="958" operator="between">
      <formula>+TODAY()</formula>
      <formula>+HOY+10</formula>
    </cfRule>
  </conditionalFormatting>
  <conditionalFormatting sqref="B29">
    <cfRule type="cellIs" dxfId="994" priority="956" operator="between">
      <formula>+TODAY()</formula>
      <formula>+HOY+10</formula>
    </cfRule>
  </conditionalFormatting>
  <conditionalFormatting sqref="B29">
    <cfRule type="cellIs" dxfId="993" priority="954" operator="between">
      <formula>+TODAY()</formula>
      <formula>+HOY+10</formula>
    </cfRule>
  </conditionalFormatting>
  <conditionalFormatting sqref="B29">
    <cfRule type="cellIs" dxfId="992" priority="955" operator="between">
      <formula>+TODAY()</formula>
      <formula>+HOY+10</formula>
    </cfRule>
  </conditionalFormatting>
  <conditionalFormatting sqref="B29">
    <cfRule type="cellIs" dxfId="991" priority="952" operator="between">
      <formula>+TODAY()</formula>
      <formula>+HOY+10</formula>
    </cfRule>
  </conditionalFormatting>
  <conditionalFormatting sqref="B29">
    <cfRule type="cellIs" dxfId="990" priority="953" operator="between">
      <formula>+TODAY()</formula>
      <formula>+HOY+10</formula>
    </cfRule>
  </conditionalFormatting>
  <conditionalFormatting sqref="B29">
    <cfRule type="cellIs" dxfId="989" priority="951" operator="between">
      <formula>+TODAY()</formula>
      <formula>+HOY+10</formula>
    </cfRule>
  </conditionalFormatting>
  <conditionalFormatting sqref="B29">
    <cfRule type="cellIs" dxfId="988" priority="950" operator="between">
      <formula>+TODAY()</formula>
      <formula>+HOY+10</formula>
    </cfRule>
  </conditionalFormatting>
  <conditionalFormatting sqref="B29">
    <cfRule type="cellIs" dxfId="987" priority="946" operator="between">
      <formula>+TODAY()</formula>
      <formula>+HOY+10</formula>
    </cfRule>
  </conditionalFormatting>
  <conditionalFormatting sqref="A29">
    <cfRule type="cellIs" dxfId="986" priority="945" operator="between">
      <formula>+TODAY()</formula>
      <formula>+HOY+10</formula>
    </cfRule>
  </conditionalFormatting>
  <conditionalFormatting sqref="B29">
    <cfRule type="cellIs" dxfId="985" priority="947" operator="between">
      <formula>+TODAY()</formula>
      <formula>+HOY+10</formula>
    </cfRule>
  </conditionalFormatting>
  <conditionalFormatting sqref="B29">
    <cfRule type="cellIs" dxfId="984" priority="949" operator="between">
      <formula>+TODAY()</formula>
      <formula>+HOY+10</formula>
    </cfRule>
  </conditionalFormatting>
  <conditionalFormatting sqref="B29">
    <cfRule type="cellIs" dxfId="983" priority="948" operator="between">
      <formula>+TODAY()</formula>
      <formula>+HOY+10</formula>
    </cfRule>
  </conditionalFormatting>
  <conditionalFormatting sqref="A29">
    <cfRule type="cellIs" dxfId="982" priority="944" operator="between">
      <formula>+TODAY()</formula>
      <formula>+HOY+10</formula>
    </cfRule>
  </conditionalFormatting>
  <conditionalFormatting sqref="A29">
    <cfRule type="cellIs" dxfId="981" priority="943" operator="between">
      <formula>+TODAY()</formula>
      <formula>+HOY+10</formula>
    </cfRule>
  </conditionalFormatting>
  <conditionalFormatting sqref="A29">
    <cfRule type="cellIs" dxfId="980" priority="941" operator="between">
      <formula>+TODAY()</formula>
      <formula>+HOY+10</formula>
    </cfRule>
  </conditionalFormatting>
  <conditionalFormatting sqref="A29">
    <cfRule type="cellIs" dxfId="979" priority="942" operator="between">
      <formula>+TODAY()</formula>
      <formula>+HOY+10</formula>
    </cfRule>
  </conditionalFormatting>
  <conditionalFormatting sqref="A29">
    <cfRule type="cellIs" dxfId="978" priority="940" operator="between">
      <formula>+TODAY()</formula>
      <formula>+HOY+10</formula>
    </cfRule>
  </conditionalFormatting>
  <conditionalFormatting sqref="A29">
    <cfRule type="cellIs" dxfId="977" priority="938" operator="between">
      <formula>+TODAY()</formula>
      <formula>+HOY+10</formula>
    </cfRule>
  </conditionalFormatting>
  <conditionalFormatting sqref="A29">
    <cfRule type="cellIs" dxfId="976" priority="939" operator="between">
      <formula>+TODAY()</formula>
      <formula>+HOY+10</formula>
    </cfRule>
  </conditionalFormatting>
  <conditionalFormatting sqref="A29">
    <cfRule type="cellIs" dxfId="975" priority="936" operator="between">
      <formula>+TODAY()</formula>
      <formula>+HOY+10</formula>
    </cfRule>
  </conditionalFormatting>
  <conditionalFormatting sqref="A29">
    <cfRule type="cellIs" dxfId="974" priority="937" operator="between">
      <formula>+TODAY()</formula>
      <formula>+HOY+10</formula>
    </cfRule>
  </conditionalFormatting>
  <conditionalFormatting sqref="A29">
    <cfRule type="cellIs" dxfId="973" priority="935" operator="between">
      <formula>+TODAY()</formula>
      <formula>+HOY+10</formula>
    </cfRule>
  </conditionalFormatting>
  <conditionalFormatting sqref="G35">
    <cfRule type="cellIs" dxfId="972" priority="887" operator="between">
      <formula>+TODAY()</formula>
      <formula>+HOY+10</formula>
    </cfRule>
  </conditionalFormatting>
  <conditionalFormatting sqref="G35">
    <cfRule type="cellIs" dxfId="971" priority="886" operator="between">
      <formula>+TODAY()</formula>
      <formula>+HOY+10</formula>
    </cfRule>
  </conditionalFormatting>
  <conditionalFormatting sqref="G35">
    <cfRule type="cellIs" dxfId="970" priority="885" operator="between">
      <formula>+TODAY()</formula>
      <formula>+HOY+10</formula>
    </cfRule>
  </conditionalFormatting>
  <conditionalFormatting sqref="L35">
    <cfRule type="cellIs" dxfId="969" priority="883" operator="between">
      <formula>+TODAY()</formula>
      <formula>+HOY+10</formula>
    </cfRule>
  </conditionalFormatting>
  <conditionalFormatting sqref="L35">
    <cfRule type="cellIs" dxfId="968" priority="881" operator="between">
      <formula>+TODAY()</formula>
      <formula>+HOY+10</formula>
    </cfRule>
  </conditionalFormatting>
  <conditionalFormatting sqref="L35">
    <cfRule type="cellIs" dxfId="967" priority="882" operator="between">
      <formula>+TODAY()</formula>
      <formula>+HOY+10</formula>
    </cfRule>
  </conditionalFormatting>
  <conditionalFormatting sqref="L35">
    <cfRule type="cellIs" dxfId="966" priority="879" operator="between">
      <formula>+TODAY()</formula>
      <formula>+HOY+10</formula>
    </cfRule>
  </conditionalFormatting>
  <conditionalFormatting sqref="L35">
    <cfRule type="cellIs" dxfId="965" priority="880" operator="between">
      <formula>+TODAY()</formula>
      <formula>+HOY+10</formula>
    </cfRule>
  </conditionalFormatting>
  <conditionalFormatting sqref="L35">
    <cfRule type="cellIs" dxfId="964" priority="877" operator="between">
      <formula>+TODAY()</formula>
      <formula>+HOY+10</formula>
    </cfRule>
  </conditionalFormatting>
  <conditionalFormatting sqref="L35">
    <cfRule type="cellIs" dxfId="963" priority="878" operator="between">
      <formula>+TODAY()</formula>
      <formula>+HOY+10</formula>
    </cfRule>
  </conditionalFormatting>
  <conditionalFormatting sqref="L35">
    <cfRule type="cellIs" dxfId="962" priority="876" operator="between">
      <formula>+TODAY()</formula>
      <formula>+HOY+10</formula>
    </cfRule>
  </conditionalFormatting>
  <conditionalFormatting sqref="L35">
    <cfRule type="cellIs" dxfId="961" priority="875" operator="between">
      <formula>+TODAY()</formula>
      <formula>+HOY+10</formula>
    </cfRule>
  </conditionalFormatting>
  <conditionalFormatting sqref="G30">
    <cfRule type="cellIs" dxfId="960" priority="901" operator="between">
      <formula>+TODAY()</formula>
      <formula>+HOY+10</formula>
    </cfRule>
  </conditionalFormatting>
  <conditionalFormatting sqref="G30">
    <cfRule type="cellIs" dxfId="959" priority="900" operator="between">
      <formula>+TODAY()</formula>
      <formula>+HOY+10</formula>
    </cfRule>
  </conditionalFormatting>
  <conditionalFormatting sqref="G35">
    <cfRule type="cellIs" dxfId="958" priority="898" operator="between">
      <formula>+TODAY()</formula>
      <formula>+HOY+10</formula>
    </cfRule>
  </conditionalFormatting>
  <conditionalFormatting sqref="G30">
    <cfRule type="cellIs" dxfId="957" priority="899" operator="between">
      <formula>+TODAY()</formula>
      <formula>+HOY+10</formula>
    </cfRule>
  </conditionalFormatting>
  <conditionalFormatting sqref="G35">
    <cfRule type="cellIs" dxfId="956" priority="897" operator="between">
      <formula>+TODAY()</formula>
      <formula>+HOY+10</formula>
    </cfRule>
  </conditionalFormatting>
  <conditionalFormatting sqref="G35">
    <cfRule type="cellIs" dxfId="955" priority="895" operator="between">
      <formula>+TODAY()</formula>
      <formula>+HOY+10</formula>
    </cfRule>
  </conditionalFormatting>
  <conditionalFormatting sqref="G35">
    <cfRule type="cellIs" dxfId="954" priority="896" operator="between">
      <formula>+TODAY()</formula>
      <formula>+HOY+10</formula>
    </cfRule>
  </conditionalFormatting>
  <conditionalFormatting sqref="G35">
    <cfRule type="cellIs" dxfId="953" priority="893" operator="between">
      <formula>+TODAY()</formula>
      <formula>+HOY+10</formula>
    </cfRule>
  </conditionalFormatting>
  <conditionalFormatting sqref="G35">
    <cfRule type="cellIs" dxfId="952" priority="894" operator="between">
      <formula>+TODAY()</formula>
      <formula>+HOY+10</formula>
    </cfRule>
  </conditionalFormatting>
  <conditionalFormatting sqref="G35">
    <cfRule type="cellIs" dxfId="951" priority="891" operator="between">
      <formula>+TODAY()</formula>
      <formula>+HOY+10</formula>
    </cfRule>
  </conditionalFormatting>
  <conditionalFormatting sqref="G35">
    <cfRule type="cellIs" dxfId="950" priority="892" operator="between">
      <formula>+TODAY()</formula>
      <formula>+HOY+10</formula>
    </cfRule>
  </conditionalFormatting>
  <conditionalFormatting sqref="G35">
    <cfRule type="cellIs" dxfId="949" priority="889" operator="between">
      <formula>+TODAY()</formula>
      <formula>+HOY+10</formula>
    </cfRule>
  </conditionalFormatting>
  <conditionalFormatting sqref="G35">
    <cfRule type="cellIs" dxfId="948" priority="890" operator="between">
      <formula>+TODAY()</formula>
      <formula>+HOY+10</formula>
    </cfRule>
  </conditionalFormatting>
  <conditionalFormatting sqref="G35">
    <cfRule type="cellIs" dxfId="947" priority="888" operator="between">
      <formula>+TODAY()</formula>
      <formula>+HOY+10</formula>
    </cfRule>
  </conditionalFormatting>
  <conditionalFormatting sqref="G35">
    <cfRule type="cellIs" dxfId="946" priority="884" operator="between">
      <formula>+TODAY()</formula>
      <formula>+HOY+10</formula>
    </cfRule>
  </conditionalFormatting>
  <conditionalFormatting sqref="G30">
    <cfRule type="cellIs" dxfId="945" priority="903" operator="between">
      <formula>+TODAY()</formula>
      <formula>+HOY+10</formula>
    </cfRule>
  </conditionalFormatting>
  <conditionalFormatting sqref="G30">
    <cfRule type="cellIs" dxfId="944" priority="902" operator="between">
      <formula>+TODAY()</formula>
      <formula>+HOY+10</formula>
    </cfRule>
  </conditionalFormatting>
  <conditionalFormatting sqref="L35">
    <cfRule type="cellIs" dxfId="943" priority="874" operator="between">
      <formula>+TODAY()</formula>
      <formula>+HOY+10</formula>
    </cfRule>
  </conditionalFormatting>
  <conditionalFormatting sqref="L35">
    <cfRule type="cellIs" dxfId="942" priority="870" operator="between">
      <formula>+TODAY()</formula>
      <formula>+HOY+10</formula>
    </cfRule>
  </conditionalFormatting>
  <conditionalFormatting sqref="L35">
    <cfRule type="cellIs" dxfId="941" priority="869" operator="between">
      <formula>+TODAY()</formula>
      <formula>+HOY+10</formula>
    </cfRule>
  </conditionalFormatting>
  <conditionalFormatting sqref="L35">
    <cfRule type="cellIs" dxfId="940" priority="871" operator="between">
      <formula>+TODAY()</formula>
      <formula>+HOY+10</formula>
    </cfRule>
  </conditionalFormatting>
  <conditionalFormatting sqref="L35">
    <cfRule type="cellIs" dxfId="939" priority="873" operator="between">
      <formula>+TODAY()</formula>
      <formula>+HOY+10</formula>
    </cfRule>
  </conditionalFormatting>
  <conditionalFormatting sqref="L35">
    <cfRule type="cellIs" dxfId="938" priority="872" operator="between">
      <formula>+TODAY()</formula>
      <formula>+HOY+10</formula>
    </cfRule>
  </conditionalFormatting>
  <conditionalFormatting sqref="L36">
    <cfRule type="cellIs" dxfId="937" priority="868" operator="between">
      <formula>+TODAY()</formula>
      <formula>+HOY+10</formula>
    </cfRule>
  </conditionalFormatting>
  <conditionalFormatting sqref="G36">
    <cfRule type="cellIs" dxfId="936" priority="867" operator="between">
      <formula>+TODAY()</formula>
      <formula>+HOY+10</formula>
    </cfRule>
  </conditionalFormatting>
  <conditionalFormatting sqref="G36">
    <cfRule type="cellIs" dxfId="935" priority="866" operator="between">
      <formula>+TODAY()</formula>
      <formula>+HOY+10</formula>
    </cfRule>
  </conditionalFormatting>
  <conditionalFormatting sqref="G36">
    <cfRule type="cellIs" dxfId="934" priority="865" operator="between">
      <formula>+TODAY()</formula>
      <formula>+HOY+10</formula>
    </cfRule>
  </conditionalFormatting>
  <conditionalFormatting sqref="G36">
    <cfRule type="cellIs" dxfId="933" priority="863" operator="between">
      <formula>+TODAY()</formula>
      <formula>+HOY+10</formula>
    </cfRule>
  </conditionalFormatting>
  <conditionalFormatting sqref="G36">
    <cfRule type="cellIs" dxfId="932" priority="862" operator="between">
      <formula>+TODAY()</formula>
      <formula>+HOY+10</formula>
    </cfRule>
  </conditionalFormatting>
  <conditionalFormatting sqref="G36">
    <cfRule type="cellIs" dxfId="931" priority="861" operator="between">
      <formula>+TODAY()</formula>
      <formula>+HOY+10</formula>
    </cfRule>
  </conditionalFormatting>
  <conditionalFormatting sqref="G36">
    <cfRule type="cellIs" dxfId="930" priority="864" operator="between">
      <formula>+TODAY()</formula>
      <formula>+HOY+10</formula>
    </cfRule>
  </conditionalFormatting>
  <conditionalFormatting sqref="G36">
    <cfRule type="cellIs" dxfId="929" priority="860" operator="between">
      <formula>+TODAY()</formula>
      <formula>+HOY+10</formula>
    </cfRule>
  </conditionalFormatting>
  <conditionalFormatting sqref="G36">
    <cfRule type="cellIs" dxfId="928" priority="859" operator="between">
      <formula>+TODAY()</formula>
      <formula>+HOY+10</formula>
    </cfRule>
  </conditionalFormatting>
  <conditionalFormatting sqref="G36">
    <cfRule type="cellIs" dxfId="927" priority="858" operator="between">
      <formula>+TODAY()</formula>
      <formula>+HOY+10</formula>
    </cfRule>
  </conditionalFormatting>
  <conditionalFormatting sqref="G36">
    <cfRule type="cellIs" dxfId="926" priority="857" operator="between">
      <formula>+TODAY()</formula>
      <formula>+HOY+10</formula>
    </cfRule>
  </conditionalFormatting>
  <conditionalFormatting sqref="L44">
    <cfRule type="cellIs" dxfId="925" priority="840" operator="between">
      <formula>+TODAY()</formula>
      <formula>+HOY+10</formula>
    </cfRule>
  </conditionalFormatting>
  <conditionalFormatting sqref="G44">
    <cfRule type="cellIs" dxfId="924" priority="839" operator="between">
      <formula>+TODAY()</formula>
      <formula>+HOY+10</formula>
    </cfRule>
  </conditionalFormatting>
  <conditionalFormatting sqref="G43">
    <cfRule type="cellIs" dxfId="923" priority="841" operator="between">
      <formula>+TODAY()</formula>
      <formula>+HOY+10</formula>
    </cfRule>
  </conditionalFormatting>
  <conditionalFormatting sqref="L45">
    <cfRule type="cellIs" dxfId="922" priority="838" operator="between">
      <formula>+TODAY()</formula>
      <formula>+HOY+10</formula>
    </cfRule>
  </conditionalFormatting>
  <conditionalFormatting sqref="G45">
    <cfRule type="cellIs" dxfId="921" priority="837" operator="between">
      <formula>+TODAY()</formula>
      <formula>+HOY+10</formula>
    </cfRule>
  </conditionalFormatting>
  <conditionalFormatting sqref="L46">
    <cfRule type="cellIs" dxfId="920" priority="836" operator="between">
      <formula>+TODAY()</formula>
      <formula>+HOY+10</formula>
    </cfRule>
  </conditionalFormatting>
  <conditionalFormatting sqref="G46">
    <cfRule type="cellIs" dxfId="919" priority="835" operator="between">
      <formula>+TODAY()</formula>
      <formula>+HOY+10</formula>
    </cfRule>
  </conditionalFormatting>
  <conditionalFormatting sqref="L47">
    <cfRule type="cellIs" dxfId="918" priority="833" operator="between">
      <formula>+TODAY()</formula>
      <formula>+HOY+10</formula>
    </cfRule>
  </conditionalFormatting>
  <conditionalFormatting sqref="G48">
    <cfRule type="cellIs" dxfId="917" priority="832" operator="between">
      <formula>+TODAY()</formula>
      <formula>+HOY+10</formula>
    </cfRule>
  </conditionalFormatting>
  <conditionalFormatting sqref="L48">
    <cfRule type="cellIs" dxfId="916" priority="831" operator="between">
      <formula>+TODAY()</formula>
      <formula>+HOY+10</formula>
    </cfRule>
  </conditionalFormatting>
  <conditionalFormatting sqref="G47">
    <cfRule type="cellIs" dxfId="915" priority="834" operator="between">
      <formula>+TODAY()</formula>
      <formula>+HOY+10</formula>
    </cfRule>
  </conditionalFormatting>
  <conditionalFormatting sqref="L49">
    <cfRule type="cellIs" dxfId="914" priority="830" operator="between">
      <formula>+TODAY()</formula>
      <formula>+HOY+10</formula>
    </cfRule>
  </conditionalFormatting>
  <conditionalFormatting sqref="G49">
    <cfRule type="cellIs" dxfId="913" priority="829" operator="between">
      <formula>+TODAY()</formula>
      <formula>+HOY+10</formula>
    </cfRule>
  </conditionalFormatting>
  <conditionalFormatting sqref="G37">
    <cfRule type="cellIs" dxfId="912" priority="852" operator="between">
      <formula>+TODAY()</formula>
      <formula>+HOY+10</formula>
    </cfRule>
  </conditionalFormatting>
  <conditionalFormatting sqref="L37">
    <cfRule type="cellIs" dxfId="911" priority="851" operator="between">
      <formula>+TODAY()</formula>
      <formula>+HOY+10</formula>
    </cfRule>
  </conditionalFormatting>
  <conditionalFormatting sqref="G36">
    <cfRule type="cellIs" dxfId="910" priority="853" operator="between">
      <formula>+TODAY()</formula>
      <formula>+HOY+10</formula>
    </cfRule>
  </conditionalFormatting>
  <conditionalFormatting sqref="G36">
    <cfRule type="cellIs" dxfId="909" priority="856" operator="between">
      <formula>+TODAY()</formula>
      <formula>+HOY+10</formula>
    </cfRule>
  </conditionalFormatting>
  <conditionalFormatting sqref="G36">
    <cfRule type="cellIs" dxfId="908" priority="855" operator="between">
      <formula>+TODAY()</formula>
      <formula>+HOY+10</formula>
    </cfRule>
  </conditionalFormatting>
  <conditionalFormatting sqref="G36">
    <cfRule type="cellIs" dxfId="907" priority="854" operator="between">
      <formula>+TODAY()</formula>
      <formula>+HOY+10</formula>
    </cfRule>
  </conditionalFormatting>
  <conditionalFormatting sqref="G38">
    <cfRule type="cellIs" dxfId="906" priority="850" operator="between">
      <formula>+TODAY()</formula>
      <formula>+HOY+10</formula>
    </cfRule>
  </conditionalFormatting>
  <conditionalFormatting sqref="L38">
    <cfRule type="cellIs" dxfId="905" priority="849" operator="between">
      <formula>+TODAY()</formula>
      <formula>+HOY+10</formula>
    </cfRule>
  </conditionalFormatting>
  <conditionalFormatting sqref="G40">
    <cfRule type="cellIs" dxfId="904" priority="848" operator="between">
      <formula>+TODAY()</formula>
      <formula>+HOY+10</formula>
    </cfRule>
  </conditionalFormatting>
  <conditionalFormatting sqref="L40">
    <cfRule type="cellIs" dxfId="903" priority="847" operator="between">
      <formula>+TODAY()</formula>
      <formula>+HOY+10</formula>
    </cfRule>
  </conditionalFormatting>
  <conditionalFormatting sqref="L41">
    <cfRule type="cellIs" dxfId="902" priority="845" operator="between">
      <formula>+TODAY()</formula>
      <formula>+HOY+10</formula>
    </cfRule>
  </conditionalFormatting>
  <conditionalFormatting sqref="L42">
    <cfRule type="cellIs" dxfId="901" priority="844" operator="between">
      <formula>+TODAY()</formula>
      <formula>+HOY+10</formula>
    </cfRule>
  </conditionalFormatting>
  <conditionalFormatting sqref="G42">
    <cfRule type="cellIs" dxfId="900" priority="843" operator="between">
      <formula>+TODAY()</formula>
      <formula>+HOY+10</formula>
    </cfRule>
  </conditionalFormatting>
  <conditionalFormatting sqref="G41">
    <cfRule type="cellIs" dxfId="899" priority="846" operator="between">
      <formula>+TODAY()</formula>
      <formula>+HOY+10</formula>
    </cfRule>
  </conditionalFormatting>
  <conditionalFormatting sqref="L43">
    <cfRule type="cellIs" dxfId="898" priority="842" operator="between">
      <formula>+TODAY()</formula>
      <formula>+HOY+10</formula>
    </cfRule>
  </conditionalFormatting>
  <conditionalFormatting sqref="L50:L57 L59:L62">
    <cfRule type="cellIs" dxfId="897" priority="828" operator="between">
      <formula>+TODAY()</formula>
      <formula>+HOY+10</formula>
    </cfRule>
  </conditionalFormatting>
  <conditionalFormatting sqref="G50:G57 G59:G62">
    <cfRule type="cellIs" dxfId="896" priority="827" operator="between">
      <formula>+TODAY()</formula>
      <formula>+HOY+10</formula>
    </cfRule>
  </conditionalFormatting>
  <conditionalFormatting sqref="G63">
    <cfRule type="cellIs" dxfId="895" priority="826" operator="between">
      <formula>+TODAY()</formula>
      <formula>+HOY+10</formula>
    </cfRule>
  </conditionalFormatting>
  <conditionalFormatting sqref="L63">
    <cfRule type="cellIs" dxfId="894" priority="825" operator="between">
      <formula>+TODAY()</formula>
      <formula>+HOY+10</formula>
    </cfRule>
  </conditionalFormatting>
  <conditionalFormatting sqref="G39">
    <cfRule type="cellIs" dxfId="893" priority="824" operator="between">
      <formula>+TODAY()</formula>
      <formula>+HOY+10</formula>
    </cfRule>
  </conditionalFormatting>
  <conditionalFormatting sqref="L39">
    <cfRule type="cellIs" dxfId="892" priority="823" operator="between">
      <formula>+TODAY()</formula>
      <formula>+HOY+10</formula>
    </cfRule>
  </conditionalFormatting>
  <conditionalFormatting sqref="L58">
    <cfRule type="cellIs" dxfId="891" priority="822" operator="between">
      <formula>+TODAY()</formula>
      <formula>+HOY+10</formula>
    </cfRule>
  </conditionalFormatting>
  <conditionalFormatting sqref="G58">
    <cfRule type="cellIs" dxfId="890" priority="821" operator="between">
      <formula>+TODAY()</formula>
      <formula>+HOY+10</formula>
    </cfRule>
  </conditionalFormatting>
  <conditionalFormatting sqref="L64">
    <cfRule type="cellIs" dxfId="889" priority="817" operator="between">
      <formula>+TODAY()</formula>
      <formula>+HOY+10</formula>
    </cfRule>
  </conditionalFormatting>
  <conditionalFormatting sqref="L64">
    <cfRule type="cellIs" dxfId="888" priority="816" operator="between">
      <formula>+TODAY()</formula>
      <formula>+HOY+10</formula>
    </cfRule>
  </conditionalFormatting>
  <conditionalFormatting sqref="L64">
    <cfRule type="cellIs" dxfId="887" priority="818" operator="between">
      <formula>+TODAY()</formula>
      <formula>+HOY+10</formula>
    </cfRule>
  </conditionalFormatting>
  <conditionalFormatting sqref="L64">
    <cfRule type="cellIs" dxfId="886" priority="820" operator="between">
      <formula>+TODAY()</formula>
      <formula>+HOY+10</formula>
    </cfRule>
  </conditionalFormatting>
  <conditionalFormatting sqref="L64">
    <cfRule type="cellIs" dxfId="885" priority="819" operator="between">
      <formula>+TODAY()</formula>
      <formula>+HOY+10</formula>
    </cfRule>
  </conditionalFormatting>
  <conditionalFormatting sqref="L64">
    <cfRule type="cellIs" dxfId="884" priority="815" operator="between">
      <formula>+TODAY()</formula>
      <formula>+HOY+10</formula>
    </cfRule>
  </conditionalFormatting>
  <conditionalFormatting sqref="L64">
    <cfRule type="cellIs" dxfId="883" priority="814" operator="between">
      <formula>+TODAY()</formula>
      <formula>+HOY+10</formula>
    </cfRule>
  </conditionalFormatting>
  <conditionalFormatting sqref="L64">
    <cfRule type="cellIs" dxfId="882" priority="813" operator="between">
      <formula>+TODAY()</formula>
      <formula>+HOY+10</formula>
    </cfRule>
  </conditionalFormatting>
  <conditionalFormatting sqref="L64">
    <cfRule type="cellIs" dxfId="881" priority="812" operator="between">
      <formula>+TODAY()</formula>
      <formula>+HOY+10</formula>
    </cfRule>
  </conditionalFormatting>
  <conditionalFormatting sqref="L64">
    <cfRule type="cellIs" dxfId="880" priority="810" operator="between">
      <formula>+TODAY()</formula>
      <formula>+HOY+10</formula>
    </cfRule>
  </conditionalFormatting>
  <conditionalFormatting sqref="L64">
    <cfRule type="cellIs" dxfId="879" priority="809" operator="between">
      <formula>+TODAY()</formula>
      <formula>+HOY+10</formula>
    </cfRule>
  </conditionalFormatting>
  <conditionalFormatting sqref="L64">
    <cfRule type="cellIs" dxfId="878" priority="808" operator="between">
      <formula>+TODAY()</formula>
      <formula>+HOY+10</formula>
    </cfRule>
  </conditionalFormatting>
  <conditionalFormatting sqref="L64">
    <cfRule type="cellIs" dxfId="877" priority="811" operator="between">
      <formula>+TODAY()</formula>
      <formula>+HOY+10</formula>
    </cfRule>
  </conditionalFormatting>
  <conditionalFormatting sqref="L64">
    <cfRule type="cellIs" dxfId="876" priority="807" operator="between">
      <formula>+TODAY()</formula>
      <formula>+HOY+10</formula>
    </cfRule>
  </conditionalFormatting>
  <conditionalFormatting sqref="L64">
    <cfRule type="cellIs" dxfId="875" priority="806" operator="between">
      <formula>+TODAY()</formula>
      <formula>+HOY+10</formula>
    </cfRule>
  </conditionalFormatting>
  <conditionalFormatting sqref="G64">
    <cfRule type="cellIs" dxfId="874" priority="805" operator="between">
      <formula>+TODAY()</formula>
      <formula>+HOY+10</formula>
    </cfRule>
  </conditionalFormatting>
  <conditionalFormatting sqref="G64">
    <cfRule type="cellIs" dxfId="873" priority="804" operator="between">
      <formula>+TODAY()</formula>
      <formula>+HOY+10</formula>
    </cfRule>
  </conditionalFormatting>
  <conditionalFormatting sqref="G64">
    <cfRule type="cellIs" dxfId="872" priority="802" operator="between">
      <formula>+TODAY()</formula>
      <formula>+HOY+10</formula>
    </cfRule>
  </conditionalFormatting>
  <conditionalFormatting sqref="G64">
    <cfRule type="cellIs" dxfId="871" priority="801" operator="between">
      <formula>+TODAY()</formula>
      <formula>+HOY+10</formula>
    </cfRule>
  </conditionalFormatting>
  <conditionalFormatting sqref="G64">
    <cfRule type="cellIs" dxfId="870" priority="803" operator="between">
      <formula>+TODAY()</formula>
      <formula>+HOY+10</formula>
    </cfRule>
  </conditionalFormatting>
  <conditionalFormatting sqref="G64">
    <cfRule type="cellIs" dxfId="869" priority="800" operator="between">
      <formula>+TODAY()</formula>
      <formula>+HOY+10</formula>
    </cfRule>
  </conditionalFormatting>
  <conditionalFormatting sqref="G64">
    <cfRule type="cellIs" dxfId="868" priority="799" operator="between">
      <formula>+TODAY()</formula>
      <formula>+HOY+10</formula>
    </cfRule>
  </conditionalFormatting>
  <conditionalFormatting sqref="G64">
    <cfRule type="cellIs" dxfId="867" priority="798" operator="between">
      <formula>+TODAY()</formula>
      <formula>+HOY+10</formula>
    </cfRule>
  </conditionalFormatting>
  <conditionalFormatting sqref="G64">
    <cfRule type="cellIs" dxfId="866" priority="797" operator="between">
      <formula>+TODAY()</formula>
      <formula>+HOY+10</formula>
    </cfRule>
  </conditionalFormatting>
  <conditionalFormatting sqref="G64">
    <cfRule type="cellIs" dxfId="865" priority="795" operator="between">
      <formula>+TODAY()</formula>
      <formula>+HOY+10</formula>
    </cfRule>
  </conditionalFormatting>
  <conditionalFormatting sqref="G64">
    <cfRule type="cellIs" dxfId="864" priority="794" operator="between">
      <formula>+TODAY()</formula>
      <formula>+HOY+10</formula>
    </cfRule>
  </conditionalFormatting>
  <conditionalFormatting sqref="G64">
    <cfRule type="cellIs" dxfId="863" priority="793" operator="between">
      <formula>+TODAY()</formula>
      <formula>+HOY+10</formula>
    </cfRule>
  </conditionalFormatting>
  <conditionalFormatting sqref="G64">
    <cfRule type="cellIs" dxfId="862" priority="796" operator="between">
      <formula>+TODAY()</formula>
      <formula>+HOY+10</formula>
    </cfRule>
  </conditionalFormatting>
  <conditionalFormatting sqref="G64">
    <cfRule type="cellIs" dxfId="861" priority="792" operator="between">
      <formula>+TODAY()</formula>
      <formula>+HOY+10</formula>
    </cfRule>
  </conditionalFormatting>
  <conditionalFormatting sqref="G64">
    <cfRule type="cellIs" dxfId="860" priority="791" operator="between">
      <formula>+TODAY()</formula>
      <formula>+HOY+10</formula>
    </cfRule>
  </conditionalFormatting>
  <conditionalFormatting sqref="G65">
    <cfRule type="cellIs" dxfId="859" priority="790" operator="between">
      <formula>+TODAY()</formula>
      <formula>+HOY+10</formula>
    </cfRule>
  </conditionalFormatting>
  <conditionalFormatting sqref="L65">
    <cfRule type="cellIs" dxfId="858" priority="789" operator="between">
      <formula>+TODAY()</formula>
      <formula>+HOY+10</formula>
    </cfRule>
  </conditionalFormatting>
  <conditionalFormatting sqref="G66">
    <cfRule type="cellIs" dxfId="857" priority="787" operator="between">
      <formula>+TODAY()</formula>
      <formula>+HOY+10</formula>
    </cfRule>
  </conditionalFormatting>
  <conditionalFormatting sqref="L66">
    <cfRule type="cellIs" dxfId="856" priority="788" operator="between">
      <formula>+TODAY()</formula>
      <formula>+HOY+10</formula>
    </cfRule>
  </conditionalFormatting>
  <conditionalFormatting sqref="G31 L31">
    <cfRule type="cellIs" dxfId="855" priority="786" operator="between">
      <formula>+TODAY()</formula>
      <formula>+HOY+10</formula>
    </cfRule>
  </conditionalFormatting>
  <conditionalFormatting sqref="L33">
    <cfRule type="cellIs" dxfId="854" priority="784" operator="between">
      <formula>+TODAY()</formula>
      <formula>+HOY+10</formula>
    </cfRule>
  </conditionalFormatting>
  <conditionalFormatting sqref="G32 L32">
    <cfRule type="cellIs" dxfId="853" priority="785" operator="between">
      <formula>+TODAY()</formula>
      <formula>+HOY+10</formula>
    </cfRule>
  </conditionalFormatting>
  <conditionalFormatting sqref="G33">
    <cfRule type="cellIs" dxfId="852" priority="782" operator="between">
      <formula>+TODAY()</formula>
      <formula>+HOY+10</formula>
    </cfRule>
  </conditionalFormatting>
  <conditionalFormatting sqref="G33">
    <cfRule type="cellIs" dxfId="851" priority="783" operator="between">
      <formula>+TODAY()</formula>
      <formula>+HOY+10</formula>
    </cfRule>
  </conditionalFormatting>
  <conditionalFormatting sqref="G33">
    <cfRule type="cellIs" dxfId="850" priority="780" operator="between">
      <formula>+TODAY()</formula>
      <formula>+HOY+10</formula>
    </cfRule>
  </conditionalFormatting>
  <conditionalFormatting sqref="G33">
    <cfRule type="cellIs" dxfId="849" priority="781" operator="between">
      <formula>+TODAY()</formula>
      <formula>+HOY+10</formula>
    </cfRule>
  </conditionalFormatting>
  <conditionalFormatting sqref="G33">
    <cfRule type="cellIs" dxfId="848" priority="779" operator="between">
      <formula>+TODAY()</formula>
      <formula>+HOY+10</formula>
    </cfRule>
  </conditionalFormatting>
  <conditionalFormatting sqref="G33">
    <cfRule type="cellIs" dxfId="847" priority="777" operator="between">
      <formula>+TODAY()</formula>
      <formula>+HOY+10</formula>
    </cfRule>
  </conditionalFormatting>
  <conditionalFormatting sqref="G33">
    <cfRule type="cellIs" dxfId="846" priority="776" operator="between">
      <formula>+TODAY()</formula>
      <formula>+HOY+10</formula>
    </cfRule>
  </conditionalFormatting>
  <conditionalFormatting sqref="G33">
    <cfRule type="cellIs" dxfId="845" priority="778" operator="between">
      <formula>+TODAY()</formula>
      <formula>+HOY+10</formula>
    </cfRule>
  </conditionalFormatting>
  <conditionalFormatting sqref="G34">
    <cfRule type="cellIs" dxfId="844" priority="760" operator="between">
      <formula>+TODAY()</formula>
      <formula>+HOY+10</formula>
    </cfRule>
  </conditionalFormatting>
  <conditionalFormatting sqref="G33">
    <cfRule type="cellIs" dxfId="843" priority="772" operator="between">
      <formula>+TODAY()</formula>
      <formula>+HOY+10</formula>
    </cfRule>
  </conditionalFormatting>
  <conditionalFormatting sqref="G33">
    <cfRule type="cellIs" dxfId="842" priority="771" operator="between">
      <formula>+TODAY()</formula>
      <formula>+HOY+10</formula>
    </cfRule>
  </conditionalFormatting>
  <conditionalFormatting sqref="G33">
    <cfRule type="cellIs" dxfId="841" priority="769" operator="between">
      <formula>+TODAY()</formula>
      <formula>+HOY+10</formula>
    </cfRule>
  </conditionalFormatting>
  <conditionalFormatting sqref="G33">
    <cfRule type="cellIs" dxfId="840" priority="770" operator="between">
      <formula>+TODAY()</formula>
      <formula>+HOY+10</formula>
    </cfRule>
  </conditionalFormatting>
  <conditionalFormatting sqref="L34">
    <cfRule type="cellIs" dxfId="839" priority="768" operator="between">
      <formula>+TODAY()</formula>
      <formula>+HOY+10</formula>
    </cfRule>
  </conditionalFormatting>
  <conditionalFormatting sqref="G34">
    <cfRule type="cellIs" dxfId="838" priority="766" operator="between">
      <formula>+TODAY()</formula>
      <formula>+HOY+10</formula>
    </cfRule>
  </conditionalFormatting>
  <conditionalFormatting sqref="G34">
    <cfRule type="cellIs" dxfId="837" priority="767" operator="between">
      <formula>+TODAY()</formula>
      <formula>+HOY+10</formula>
    </cfRule>
  </conditionalFormatting>
  <conditionalFormatting sqref="G34">
    <cfRule type="cellIs" dxfId="836" priority="764" operator="between">
      <formula>+TODAY()</formula>
      <formula>+HOY+10</formula>
    </cfRule>
  </conditionalFormatting>
  <conditionalFormatting sqref="G34">
    <cfRule type="cellIs" dxfId="835" priority="765" operator="between">
      <formula>+TODAY()</formula>
      <formula>+HOY+10</formula>
    </cfRule>
  </conditionalFormatting>
  <conditionalFormatting sqref="G34">
    <cfRule type="cellIs" dxfId="834" priority="762" operator="between">
      <formula>+TODAY()</formula>
      <formula>+HOY+10</formula>
    </cfRule>
  </conditionalFormatting>
  <conditionalFormatting sqref="G34">
    <cfRule type="cellIs" dxfId="833" priority="763" operator="between">
      <formula>+TODAY()</formula>
      <formula>+HOY+10</formula>
    </cfRule>
  </conditionalFormatting>
  <conditionalFormatting sqref="G34">
    <cfRule type="cellIs" dxfId="832" priority="761" operator="between">
      <formula>+TODAY()</formula>
      <formula>+HOY+10</formula>
    </cfRule>
  </conditionalFormatting>
  <conditionalFormatting sqref="G33">
    <cfRule type="cellIs" dxfId="831" priority="774" operator="between">
      <formula>+TODAY()</formula>
      <formula>+HOY+10</formula>
    </cfRule>
  </conditionalFormatting>
  <conditionalFormatting sqref="G33">
    <cfRule type="cellIs" dxfId="830" priority="773" operator="between">
      <formula>+TODAY()</formula>
      <formula>+HOY+10</formula>
    </cfRule>
  </conditionalFormatting>
  <conditionalFormatting sqref="G33">
    <cfRule type="cellIs" dxfId="829" priority="775" operator="between">
      <formula>+TODAY()</formula>
      <formula>+HOY+10</formula>
    </cfRule>
  </conditionalFormatting>
  <conditionalFormatting sqref="G34">
    <cfRule type="cellIs" dxfId="828" priority="759" operator="between">
      <formula>+TODAY()</formula>
      <formula>+HOY+10</formula>
    </cfRule>
  </conditionalFormatting>
  <conditionalFormatting sqref="G34">
    <cfRule type="cellIs" dxfId="827" priority="758" operator="between">
      <formula>+TODAY()</formula>
      <formula>+HOY+10</formula>
    </cfRule>
  </conditionalFormatting>
  <conditionalFormatting sqref="G34">
    <cfRule type="cellIs" dxfId="826" priority="757" operator="between">
      <formula>+TODAY()</formula>
      <formula>+HOY+10</formula>
    </cfRule>
  </conditionalFormatting>
  <conditionalFormatting sqref="G34">
    <cfRule type="cellIs" dxfId="825" priority="756" operator="between">
      <formula>+TODAY()</formula>
      <formula>+HOY+10</formula>
    </cfRule>
  </conditionalFormatting>
  <conditionalFormatting sqref="G34">
    <cfRule type="cellIs" dxfId="824" priority="754" operator="between">
      <formula>+TODAY()</formula>
      <formula>+HOY+10</formula>
    </cfRule>
  </conditionalFormatting>
  <conditionalFormatting sqref="G34">
    <cfRule type="cellIs" dxfId="823" priority="753" operator="between">
      <formula>+TODAY()</formula>
      <formula>+HOY+10</formula>
    </cfRule>
  </conditionalFormatting>
  <conditionalFormatting sqref="G68:G69">
    <cfRule type="cellIs" dxfId="822" priority="752" operator="between">
      <formula>+TODAY()</formula>
      <formula>+HOY+10</formula>
    </cfRule>
  </conditionalFormatting>
  <conditionalFormatting sqref="G34">
    <cfRule type="cellIs" dxfId="821" priority="755" operator="between">
      <formula>+TODAY()</formula>
      <formula>+HOY+10</formula>
    </cfRule>
  </conditionalFormatting>
  <conditionalFormatting sqref="G68:G69">
    <cfRule type="cellIs" dxfId="820" priority="746" operator="between">
      <formula>+TODAY()</formula>
      <formula>+HOY+10</formula>
    </cfRule>
  </conditionalFormatting>
  <conditionalFormatting sqref="G68:G69">
    <cfRule type="cellIs" dxfId="819" priority="745" operator="between">
      <formula>+TODAY()</formula>
      <formula>+HOY+10</formula>
    </cfRule>
  </conditionalFormatting>
  <conditionalFormatting sqref="G68:G69">
    <cfRule type="cellIs" dxfId="818" priority="747" operator="between">
      <formula>+TODAY()</formula>
      <formula>+HOY+10</formula>
    </cfRule>
  </conditionalFormatting>
  <conditionalFormatting sqref="G68:G69">
    <cfRule type="cellIs" dxfId="817" priority="751" operator="between">
      <formula>+TODAY()</formula>
      <formula>+HOY+10</formula>
    </cfRule>
  </conditionalFormatting>
  <conditionalFormatting sqref="G68:G69">
    <cfRule type="cellIs" dxfId="816" priority="750" operator="between">
      <formula>+TODAY()</formula>
      <formula>+HOY+10</formula>
    </cfRule>
  </conditionalFormatting>
  <conditionalFormatting sqref="G68:G69">
    <cfRule type="cellIs" dxfId="815" priority="749" operator="between">
      <formula>+TODAY()</formula>
      <formula>+HOY+10</formula>
    </cfRule>
  </conditionalFormatting>
  <conditionalFormatting sqref="G68:G69">
    <cfRule type="cellIs" dxfId="814" priority="748" operator="between">
      <formula>+TODAY()</formula>
      <formula>+HOY+10</formula>
    </cfRule>
  </conditionalFormatting>
  <conditionalFormatting sqref="G68:G69">
    <cfRule type="cellIs" dxfId="813" priority="744" operator="between">
      <formula>+TODAY()</formula>
      <formula>+HOY+10</formula>
    </cfRule>
  </conditionalFormatting>
  <conditionalFormatting sqref="G68:G69">
    <cfRule type="cellIs" dxfId="812" priority="743" operator="between">
      <formula>+TODAY()</formula>
      <formula>+HOY+10</formula>
    </cfRule>
  </conditionalFormatting>
  <conditionalFormatting sqref="G68:G69">
    <cfRule type="cellIs" dxfId="811" priority="742" operator="between">
      <formula>+TODAY()</formula>
      <formula>+HOY+10</formula>
    </cfRule>
  </conditionalFormatting>
  <conditionalFormatting sqref="G68:G69">
    <cfRule type="cellIs" dxfId="810" priority="740" operator="between">
      <formula>+TODAY()</formula>
      <formula>+HOY+10</formula>
    </cfRule>
  </conditionalFormatting>
  <conditionalFormatting sqref="G68:G69">
    <cfRule type="cellIs" dxfId="809" priority="739" operator="between">
      <formula>+TODAY()</formula>
      <formula>+HOY+10</formula>
    </cfRule>
  </conditionalFormatting>
  <conditionalFormatting sqref="G68:G69">
    <cfRule type="cellIs" dxfId="808" priority="738" operator="between">
      <formula>+TODAY()</formula>
      <formula>+HOY+10</formula>
    </cfRule>
  </conditionalFormatting>
  <conditionalFormatting sqref="L68:L69">
    <cfRule type="cellIs" dxfId="807" priority="737" operator="between">
      <formula>+TODAY()</formula>
      <formula>+HOY+10</formula>
    </cfRule>
  </conditionalFormatting>
  <conditionalFormatting sqref="L68:L69">
    <cfRule type="cellIs" dxfId="806" priority="731" operator="between">
      <formula>+TODAY()</formula>
      <formula>+HOY+10</formula>
    </cfRule>
  </conditionalFormatting>
  <conditionalFormatting sqref="L68:L69">
    <cfRule type="cellIs" dxfId="805" priority="730" operator="between">
      <formula>+TODAY()</formula>
      <formula>+HOY+10</formula>
    </cfRule>
  </conditionalFormatting>
  <conditionalFormatting sqref="L68:L69">
    <cfRule type="cellIs" dxfId="804" priority="729" operator="between">
      <formula>+TODAY()</formula>
      <formula>+HOY+10</formula>
    </cfRule>
  </conditionalFormatting>
  <conditionalFormatting sqref="L68:L69">
    <cfRule type="cellIs" dxfId="803" priority="728" operator="between">
      <formula>+TODAY()</formula>
      <formula>+HOY+10</formula>
    </cfRule>
  </conditionalFormatting>
  <conditionalFormatting sqref="L68:L69">
    <cfRule type="cellIs" dxfId="802" priority="726" operator="between">
      <formula>+TODAY()</formula>
      <formula>+HOY+10</formula>
    </cfRule>
  </conditionalFormatting>
  <conditionalFormatting sqref="L68:L69">
    <cfRule type="cellIs" dxfId="801" priority="725" operator="between">
      <formula>+TODAY()</formula>
      <formula>+HOY+10</formula>
    </cfRule>
  </conditionalFormatting>
  <conditionalFormatting sqref="L68:L69">
    <cfRule type="cellIs" dxfId="800" priority="724" operator="between">
      <formula>+TODAY()</formula>
      <formula>+HOY+10</formula>
    </cfRule>
  </conditionalFormatting>
  <conditionalFormatting sqref="L68:L69">
    <cfRule type="cellIs" dxfId="799" priority="727" operator="between">
      <formula>+TODAY()</formula>
      <formula>+HOY+10</formula>
    </cfRule>
  </conditionalFormatting>
  <conditionalFormatting sqref="M67:M78">
    <cfRule type="cellIs" dxfId="798" priority="723" operator="between">
      <formula>+TODAY()</formula>
      <formula>+HOY+10</formula>
    </cfRule>
  </conditionalFormatting>
  <conditionalFormatting sqref="L70:L73">
    <cfRule type="cellIs" dxfId="797" priority="722" operator="between">
      <formula>+TODAY()</formula>
      <formula>+HOY+10</formula>
    </cfRule>
  </conditionalFormatting>
  <conditionalFormatting sqref="L70:L73">
    <cfRule type="cellIs" dxfId="796" priority="718" operator="between">
      <formula>+TODAY()</formula>
      <formula>+HOY+10</formula>
    </cfRule>
  </conditionalFormatting>
  <conditionalFormatting sqref="L70:L73">
    <cfRule type="cellIs" dxfId="795" priority="717" operator="between">
      <formula>+TODAY()</formula>
      <formula>+HOY+10</formula>
    </cfRule>
  </conditionalFormatting>
  <conditionalFormatting sqref="L70:L73">
    <cfRule type="cellIs" dxfId="794" priority="719" operator="between">
      <formula>+TODAY()</formula>
      <formula>+HOY+10</formula>
    </cfRule>
  </conditionalFormatting>
  <conditionalFormatting sqref="L70:L73">
    <cfRule type="cellIs" dxfId="793" priority="721" operator="between">
      <formula>+TODAY()</formula>
      <formula>+HOY+10</formula>
    </cfRule>
  </conditionalFormatting>
  <conditionalFormatting sqref="L70:L73">
    <cfRule type="cellIs" dxfId="792" priority="720" operator="between">
      <formula>+TODAY()</formula>
      <formula>+HOY+10</formula>
    </cfRule>
  </conditionalFormatting>
  <conditionalFormatting sqref="L70:L73">
    <cfRule type="cellIs" dxfId="791" priority="716" operator="between">
      <formula>+TODAY()</formula>
      <formula>+HOY+10</formula>
    </cfRule>
  </conditionalFormatting>
  <conditionalFormatting sqref="L70:L73">
    <cfRule type="cellIs" dxfId="790" priority="715" operator="between">
      <formula>+TODAY()</formula>
      <formula>+HOY+10</formula>
    </cfRule>
  </conditionalFormatting>
  <conditionalFormatting sqref="L70:L73">
    <cfRule type="cellIs" dxfId="789" priority="714" operator="between">
      <formula>+TODAY()</formula>
      <formula>+HOY+10</formula>
    </cfRule>
  </conditionalFormatting>
  <conditionalFormatting sqref="L70:L73">
    <cfRule type="cellIs" dxfId="788" priority="713" operator="between">
      <formula>+TODAY()</formula>
      <formula>+HOY+10</formula>
    </cfRule>
  </conditionalFormatting>
  <conditionalFormatting sqref="L70:L73">
    <cfRule type="cellIs" dxfId="787" priority="711" operator="between">
      <formula>+TODAY()</formula>
      <formula>+HOY+10</formula>
    </cfRule>
  </conditionalFormatting>
  <conditionalFormatting sqref="L70:L73">
    <cfRule type="cellIs" dxfId="786" priority="710" operator="between">
      <formula>+TODAY()</formula>
      <formula>+HOY+10</formula>
    </cfRule>
  </conditionalFormatting>
  <conditionalFormatting sqref="L70:L73">
    <cfRule type="cellIs" dxfId="785" priority="709" operator="between">
      <formula>+TODAY()</formula>
      <formula>+HOY+10</formula>
    </cfRule>
  </conditionalFormatting>
  <conditionalFormatting sqref="L70:L73">
    <cfRule type="cellIs" dxfId="784" priority="712" operator="between">
      <formula>+TODAY()</formula>
      <formula>+HOY+10</formula>
    </cfRule>
  </conditionalFormatting>
  <conditionalFormatting sqref="L70:L73">
    <cfRule type="cellIs" dxfId="783" priority="708" operator="between">
      <formula>+TODAY()</formula>
      <formula>+HOY+10</formula>
    </cfRule>
  </conditionalFormatting>
  <conditionalFormatting sqref="G70:G71">
    <cfRule type="cellIs" dxfId="782" priority="707" operator="between">
      <formula>+TODAY()</formula>
      <formula>+HOY+10</formula>
    </cfRule>
  </conditionalFormatting>
  <conditionalFormatting sqref="L68:L69">
    <cfRule type="cellIs" dxfId="781" priority="735" operator="between">
      <formula>+TODAY()</formula>
      <formula>+HOY+10</formula>
    </cfRule>
  </conditionalFormatting>
  <conditionalFormatting sqref="G67 L67:L69">
    <cfRule type="cellIs" dxfId="780" priority="736" operator="between">
      <formula>+TODAY()</formula>
      <formula>+HOY+10</formula>
    </cfRule>
  </conditionalFormatting>
  <conditionalFormatting sqref="L68:L69">
    <cfRule type="cellIs" dxfId="779" priority="733" operator="between">
      <formula>+TODAY()</formula>
      <formula>+HOY+10</formula>
    </cfRule>
  </conditionalFormatting>
  <conditionalFormatting sqref="L68:L69">
    <cfRule type="cellIs" dxfId="778" priority="734" operator="between">
      <formula>+TODAY()</formula>
      <formula>+HOY+10</formula>
    </cfRule>
  </conditionalFormatting>
  <conditionalFormatting sqref="L68:L69">
    <cfRule type="cellIs" dxfId="777" priority="732" operator="between">
      <formula>+TODAY()</formula>
      <formula>+HOY+10</formula>
    </cfRule>
  </conditionalFormatting>
  <conditionalFormatting sqref="G70:G71">
    <cfRule type="cellIs" dxfId="776" priority="706" operator="between">
      <formula>+TODAY()</formula>
      <formula>+HOY+10</formula>
    </cfRule>
  </conditionalFormatting>
  <conditionalFormatting sqref="G70:G71">
    <cfRule type="cellIs" dxfId="775" priority="705" operator="between">
      <formula>+TODAY()</formula>
      <formula>+HOY+10</formula>
    </cfRule>
  </conditionalFormatting>
  <conditionalFormatting sqref="G70:G71">
    <cfRule type="cellIs" dxfId="774" priority="704" operator="between">
      <formula>+TODAY()</formula>
      <formula>+HOY+10</formula>
    </cfRule>
  </conditionalFormatting>
  <conditionalFormatting sqref="G70:G71">
    <cfRule type="cellIs" dxfId="773" priority="702" operator="between">
      <formula>+TODAY()</formula>
      <formula>+HOY+10</formula>
    </cfRule>
  </conditionalFormatting>
  <conditionalFormatting sqref="G70:G71">
    <cfRule type="cellIs" dxfId="772" priority="703" operator="between">
      <formula>+TODAY()</formula>
      <formula>+HOY+10</formula>
    </cfRule>
  </conditionalFormatting>
  <conditionalFormatting sqref="G70:G71">
    <cfRule type="cellIs" dxfId="771" priority="701" operator="between">
      <formula>+TODAY()</formula>
      <formula>+HOY+10</formula>
    </cfRule>
  </conditionalFormatting>
  <conditionalFormatting sqref="G70:G71">
    <cfRule type="cellIs" dxfId="770" priority="700" operator="between">
      <formula>+TODAY()</formula>
      <formula>+HOY+10</formula>
    </cfRule>
  </conditionalFormatting>
  <conditionalFormatting sqref="G70:G71">
    <cfRule type="cellIs" dxfId="769" priority="698" operator="between">
      <formula>+TODAY()</formula>
      <formula>+HOY+10</formula>
    </cfRule>
  </conditionalFormatting>
  <conditionalFormatting sqref="G70:G71">
    <cfRule type="cellIs" dxfId="768" priority="694" operator="between">
      <formula>+TODAY()</formula>
      <formula>+HOY+10</formula>
    </cfRule>
  </conditionalFormatting>
  <conditionalFormatting sqref="G70:G71">
    <cfRule type="cellIs" dxfId="767" priority="697" operator="between">
      <formula>+TODAY()</formula>
      <formula>+HOY+10</formula>
    </cfRule>
  </conditionalFormatting>
  <conditionalFormatting sqref="G70:G71">
    <cfRule type="cellIs" dxfId="766" priority="696" operator="between">
      <formula>+TODAY()</formula>
      <formula>+HOY+10</formula>
    </cfRule>
  </conditionalFormatting>
  <conditionalFormatting sqref="G72:G73">
    <cfRule type="cellIs" dxfId="765" priority="692" operator="between">
      <formula>+TODAY()</formula>
      <formula>+HOY+10</formula>
    </cfRule>
  </conditionalFormatting>
  <conditionalFormatting sqref="G70:G71">
    <cfRule type="cellIs" dxfId="764" priority="693" operator="between">
      <formula>+TODAY()</formula>
      <formula>+HOY+10</formula>
    </cfRule>
  </conditionalFormatting>
  <conditionalFormatting sqref="G72:G73">
    <cfRule type="cellIs" dxfId="763" priority="691" operator="between">
      <formula>+TODAY()</formula>
      <formula>+HOY+10</formula>
    </cfRule>
  </conditionalFormatting>
  <conditionalFormatting sqref="G72:G73">
    <cfRule type="cellIs" dxfId="762" priority="690" operator="between">
      <formula>+TODAY()</formula>
      <formula>+HOY+10</formula>
    </cfRule>
  </conditionalFormatting>
  <conditionalFormatting sqref="G72:G73">
    <cfRule type="cellIs" dxfId="761" priority="688" operator="between">
      <formula>+TODAY()</formula>
      <formula>+HOY+10</formula>
    </cfRule>
  </conditionalFormatting>
  <conditionalFormatting sqref="G72:G73">
    <cfRule type="cellIs" dxfId="760" priority="687" operator="between">
      <formula>+TODAY()</formula>
      <formula>+HOY+10</formula>
    </cfRule>
  </conditionalFormatting>
  <conditionalFormatting sqref="G72:G73">
    <cfRule type="cellIs" dxfId="759" priority="683" operator="between">
      <formula>+TODAY()</formula>
      <formula>+HOY+10</formula>
    </cfRule>
  </conditionalFormatting>
  <conditionalFormatting sqref="G72:G73">
    <cfRule type="cellIs" dxfId="758" priority="685" operator="between">
      <formula>+TODAY()</formula>
      <formula>+HOY+10</formula>
    </cfRule>
  </conditionalFormatting>
  <conditionalFormatting sqref="L78">
    <cfRule type="cellIs" dxfId="757" priority="655" operator="between">
      <formula>+TODAY()</formula>
      <formula>+HOY+10</formula>
    </cfRule>
  </conditionalFormatting>
  <conditionalFormatting sqref="G72:G73">
    <cfRule type="cellIs" dxfId="756" priority="684" operator="between">
      <formula>+TODAY()</formula>
      <formula>+HOY+10</formula>
    </cfRule>
  </conditionalFormatting>
  <conditionalFormatting sqref="G72:G73">
    <cfRule type="cellIs" dxfId="755" priority="681" operator="between">
      <formula>+TODAY()</formula>
      <formula>+HOY+10</formula>
    </cfRule>
  </conditionalFormatting>
  <conditionalFormatting sqref="G72:G73">
    <cfRule type="cellIs" dxfId="754" priority="680" operator="between">
      <formula>+TODAY()</formula>
      <formula>+HOY+10</formula>
    </cfRule>
  </conditionalFormatting>
  <conditionalFormatting sqref="G72:G73">
    <cfRule type="cellIs" dxfId="753" priority="679" operator="between">
      <formula>+TODAY()</formula>
      <formula>+HOY+10</formula>
    </cfRule>
  </conditionalFormatting>
  <conditionalFormatting sqref="G72:G73">
    <cfRule type="cellIs" dxfId="752" priority="678" operator="between">
      <formula>+TODAY()</formula>
      <formula>+HOY+10</formula>
    </cfRule>
  </conditionalFormatting>
  <conditionalFormatting sqref="L74">
    <cfRule type="cellIs" dxfId="751" priority="677" operator="between">
      <formula>+TODAY()</formula>
      <formula>+HOY+10</formula>
    </cfRule>
  </conditionalFormatting>
  <conditionalFormatting sqref="L78">
    <cfRule type="cellIs" dxfId="750" priority="663" operator="between">
      <formula>+TODAY()</formula>
      <formula>+HOY+10</formula>
    </cfRule>
  </conditionalFormatting>
  <conditionalFormatting sqref="L78">
    <cfRule type="cellIs" dxfId="749" priority="661" operator="between">
      <formula>+TODAY()</formula>
      <formula>+HOY+10</formula>
    </cfRule>
  </conditionalFormatting>
  <conditionalFormatting sqref="L78">
    <cfRule type="cellIs" dxfId="748" priority="658" operator="between">
      <formula>+TODAY()</formula>
      <formula>+HOY+10</formula>
    </cfRule>
  </conditionalFormatting>
  <conditionalFormatting sqref="L78">
    <cfRule type="cellIs" dxfId="747" priority="657" operator="between">
      <formula>+TODAY()</formula>
      <formula>+HOY+10</formula>
    </cfRule>
  </conditionalFormatting>
  <conditionalFormatting sqref="L78">
    <cfRule type="cellIs" dxfId="746" priority="656" operator="between">
      <formula>+TODAY()</formula>
      <formula>+HOY+10</formula>
    </cfRule>
  </conditionalFormatting>
  <conditionalFormatting sqref="G78">
    <cfRule type="cellIs" dxfId="745" priority="654" operator="between">
      <formula>+TODAY()</formula>
      <formula>+HOY+10</formula>
    </cfRule>
  </conditionalFormatting>
  <conditionalFormatting sqref="G78">
    <cfRule type="cellIs" dxfId="744" priority="653" operator="between">
      <formula>+TODAY()</formula>
      <formula>+HOY+10</formula>
    </cfRule>
  </conditionalFormatting>
  <conditionalFormatting sqref="G78">
    <cfRule type="cellIs" dxfId="743" priority="652" operator="between">
      <formula>+TODAY()</formula>
      <formula>+HOY+10</formula>
    </cfRule>
  </conditionalFormatting>
  <conditionalFormatting sqref="G78">
    <cfRule type="cellIs" dxfId="742" priority="651" operator="between">
      <formula>+TODAY()</formula>
      <formula>+HOY+10</formula>
    </cfRule>
  </conditionalFormatting>
  <conditionalFormatting sqref="G78">
    <cfRule type="cellIs" dxfId="741" priority="650" operator="between">
      <formula>+TODAY()</formula>
      <formula>+HOY+10</formula>
    </cfRule>
  </conditionalFormatting>
  <conditionalFormatting sqref="G78">
    <cfRule type="cellIs" dxfId="740" priority="649" operator="between">
      <formula>+TODAY()</formula>
      <formula>+HOY+10</formula>
    </cfRule>
  </conditionalFormatting>
  <conditionalFormatting sqref="G78">
    <cfRule type="cellIs" dxfId="739" priority="648" operator="between">
      <formula>+TODAY()</formula>
      <formula>+HOY+10</formula>
    </cfRule>
  </conditionalFormatting>
  <conditionalFormatting sqref="G78">
    <cfRule type="cellIs" dxfId="738" priority="647" operator="between">
      <formula>+TODAY()</formula>
      <formula>+HOY+10</formula>
    </cfRule>
  </conditionalFormatting>
  <conditionalFormatting sqref="G78">
    <cfRule type="cellIs" dxfId="737" priority="646" operator="between">
      <formula>+TODAY()</formula>
      <formula>+HOY+10</formula>
    </cfRule>
  </conditionalFormatting>
  <conditionalFormatting sqref="G78">
    <cfRule type="cellIs" dxfId="736" priority="645" operator="between">
      <formula>+TODAY()</formula>
      <formula>+HOY+10</formula>
    </cfRule>
  </conditionalFormatting>
  <conditionalFormatting sqref="G78">
    <cfRule type="cellIs" dxfId="735" priority="644" operator="between">
      <formula>+TODAY()</formula>
      <formula>+HOY+10</formula>
    </cfRule>
  </conditionalFormatting>
  <conditionalFormatting sqref="G78">
    <cfRule type="cellIs" dxfId="734" priority="643" operator="between">
      <formula>+TODAY()</formula>
      <formula>+HOY+10</formula>
    </cfRule>
  </conditionalFormatting>
  <conditionalFormatting sqref="G78">
    <cfRule type="cellIs" dxfId="733" priority="642" operator="between">
      <formula>+TODAY()</formula>
      <formula>+HOY+10</formula>
    </cfRule>
  </conditionalFormatting>
  <conditionalFormatting sqref="G78">
    <cfRule type="cellIs" dxfId="732" priority="641" operator="between">
      <formula>+TODAY()</formula>
      <formula>+HOY+10</formula>
    </cfRule>
  </conditionalFormatting>
  <conditionalFormatting sqref="G78">
    <cfRule type="cellIs" dxfId="731" priority="640" operator="between">
      <formula>+TODAY()</formula>
      <formula>+HOY+10</formula>
    </cfRule>
  </conditionalFormatting>
  <conditionalFormatting sqref="G79">
    <cfRule type="cellIs" dxfId="730" priority="639" operator="between">
      <formula>+TODAY()</formula>
      <formula>+HOY+10</formula>
    </cfRule>
  </conditionalFormatting>
  <conditionalFormatting sqref="G79">
    <cfRule type="cellIs" dxfId="729" priority="638" operator="between">
      <formula>+TODAY()</formula>
      <formula>+HOY+10</formula>
    </cfRule>
  </conditionalFormatting>
  <conditionalFormatting sqref="G79">
    <cfRule type="cellIs" dxfId="728" priority="637" operator="between">
      <formula>+TODAY()</formula>
      <formula>+HOY+10</formula>
    </cfRule>
  </conditionalFormatting>
  <conditionalFormatting sqref="G79">
    <cfRule type="cellIs" dxfId="727" priority="636" operator="between">
      <formula>+TODAY()</formula>
      <formula>+HOY+10</formula>
    </cfRule>
  </conditionalFormatting>
  <conditionalFormatting sqref="G79">
    <cfRule type="cellIs" dxfId="726" priority="635" operator="between">
      <formula>+TODAY()</formula>
      <formula>+HOY+10</formula>
    </cfRule>
  </conditionalFormatting>
  <conditionalFormatting sqref="G79">
    <cfRule type="cellIs" dxfId="725" priority="634" operator="between">
      <formula>+TODAY()</formula>
      <formula>+HOY+10</formula>
    </cfRule>
  </conditionalFormatting>
  <conditionalFormatting sqref="G79">
    <cfRule type="cellIs" dxfId="724" priority="633" operator="between">
      <formula>+TODAY()</formula>
      <formula>+HOY+10</formula>
    </cfRule>
  </conditionalFormatting>
  <conditionalFormatting sqref="G79">
    <cfRule type="cellIs" dxfId="723" priority="632" operator="between">
      <formula>+TODAY()</formula>
      <formula>+HOY+10</formula>
    </cfRule>
  </conditionalFormatting>
  <conditionalFormatting sqref="G79">
    <cfRule type="cellIs" dxfId="722" priority="631" operator="between">
      <formula>+TODAY()</formula>
      <formula>+HOY+10</formula>
    </cfRule>
  </conditionalFormatting>
  <conditionalFormatting sqref="G79">
    <cfRule type="cellIs" dxfId="721" priority="630" operator="between">
      <formula>+TODAY()</formula>
      <formula>+HOY+10</formula>
    </cfRule>
  </conditionalFormatting>
  <conditionalFormatting sqref="G79">
    <cfRule type="cellIs" dxfId="720" priority="629" operator="between">
      <formula>+TODAY()</formula>
      <formula>+HOY+10</formula>
    </cfRule>
  </conditionalFormatting>
  <conditionalFormatting sqref="G79">
    <cfRule type="cellIs" dxfId="719" priority="627" operator="between">
      <formula>+TODAY()</formula>
      <formula>+HOY+10</formula>
    </cfRule>
  </conditionalFormatting>
  <conditionalFormatting sqref="G79">
    <cfRule type="cellIs" dxfId="718" priority="626" operator="between">
      <formula>+TODAY()</formula>
      <formula>+HOY+10</formula>
    </cfRule>
  </conditionalFormatting>
  <conditionalFormatting sqref="L79">
    <cfRule type="cellIs" dxfId="717" priority="616" operator="between">
      <formula>+TODAY()</formula>
      <formula>+HOY+10</formula>
    </cfRule>
  </conditionalFormatting>
  <conditionalFormatting sqref="L79">
    <cfRule type="cellIs" dxfId="716" priority="617" operator="between">
      <formula>+TODAY()</formula>
      <formula>+HOY+10</formula>
    </cfRule>
  </conditionalFormatting>
  <conditionalFormatting sqref="L79">
    <cfRule type="cellIs" dxfId="715" priority="622" operator="between">
      <formula>+TODAY()</formula>
      <formula>+HOY+10</formula>
    </cfRule>
  </conditionalFormatting>
  <conditionalFormatting sqref="L79">
    <cfRule type="cellIs" dxfId="714" priority="621" operator="between">
      <formula>+TODAY()</formula>
      <formula>+HOY+10</formula>
    </cfRule>
  </conditionalFormatting>
  <conditionalFormatting sqref="L79">
    <cfRule type="cellIs" dxfId="713" priority="620" operator="between">
      <formula>+TODAY()</formula>
      <formula>+HOY+10</formula>
    </cfRule>
  </conditionalFormatting>
  <conditionalFormatting sqref="L79">
    <cfRule type="cellIs" dxfId="712" priority="619" operator="between">
      <formula>+TODAY()</formula>
      <formula>+HOY+10</formula>
    </cfRule>
  </conditionalFormatting>
  <conditionalFormatting sqref="L79">
    <cfRule type="cellIs" dxfId="711" priority="614" operator="between">
      <formula>+TODAY()</formula>
      <formula>+HOY+10</formula>
    </cfRule>
  </conditionalFormatting>
  <conditionalFormatting sqref="L79">
    <cfRule type="cellIs" dxfId="710" priority="613" operator="between">
      <formula>+TODAY()</formula>
      <formula>+HOY+10</formula>
    </cfRule>
  </conditionalFormatting>
  <conditionalFormatting sqref="L79">
    <cfRule type="cellIs" dxfId="709" priority="611" operator="between">
      <formula>+TODAY()</formula>
      <formula>+HOY+10</formula>
    </cfRule>
  </conditionalFormatting>
  <conditionalFormatting sqref="L79">
    <cfRule type="cellIs" dxfId="708" priority="608" operator="between">
      <formula>+TODAY()</formula>
      <formula>+HOY+10</formula>
    </cfRule>
  </conditionalFormatting>
  <conditionalFormatting sqref="L79">
    <cfRule type="cellIs" dxfId="707" priority="610" operator="between">
      <formula>+TODAY()</formula>
      <formula>+HOY+10</formula>
    </cfRule>
  </conditionalFormatting>
  <conditionalFormatting sqref="L79">
    <cfRule type="cellIs" dxfId="706" priority="609" operator="between">
      <formula>+TODAY()</formula>
      <formula>+HOY+10</formula>
    </cfRule>
  </conditionalFormatting>
  <conditionalFormatting sqref="L79">
    <cfRule type="cellIs" dxfId="705" priority="607" operator="between">
      <formula>+TODAY()</formula>
      <formula>+HOY+10</formula>
    </cfRule>
  </conditionalFormatting>
  <conditionalFormatting sqref="L79">
    <cfRule type="cellIs" dxfId="704" priority="603" operator="between">
      <formula>+TODAY()</formula>
      <formula>+HOY+10</formula>
    </cfRule>
  </conditionalFormatting>
  <conditionalFormatting sqref="L79">
    <cfRule type="cellIs" dxfId="703" priority="600" operator="between">
      <formula>+TODAY()</formula>
      <formula>+HOY+10</formula>
    </cfRule>
  </conditionalFormatting>
  <conditionalFormatting sqref="L79">
    <cfRule type="cellIs" dxfId="702" priority="605" operator="between">
      <formula>+TODAY()</formula>
      <formula>+HOY+10</formula>
    </cfRule>
  </conditionalFormatting>
  <conditionalFormatting sqref="L79">
    <cfRule type="cellIs" dxfId="701" priority="602" operator="between">
      <formula>+TODAY()</formula>
      <formula>+HOY+10</formula>
    </cfRule>
  </conditionalFormatting>
  <conditionalFormatting sqref="L79">
    <cfRule type="cellIs" dxfId="700" priority="599" operator="between">
      <formula>+TODAY()</formula>
      <formula>+HOY+10</formula>
    </cfRule>
  </conditionalFormatting>
  <conditionalFormatting sqref="L79">
    <cfRule type="cellIs" dxfId="699" priority="598" operator="between">
      <formula>+TODAY()</formula>
      <formula>+HOY+10</formula>
    </cfRule>
  </conditionalFormatting>
  <conditionalFormatting sqref="L79">
    <cfRule type="cellIs" dxfId="698" priority="597" operator="between">
      <formula>+TODAY()</formula>
      <formula>+HOY+10</formula>
    </cfRule>
  </conditionalFormatting>
  <conditionalFormatting sqref="L79">
    <cfRule type="cellIs" dxfId="697" priority="596" operator="between">
      <formula>+TODAY()</formula>
      <formula>+HOY+10</formula>
    </cfRule>
  </conditionalFormatting>
  <conditionalFormatting sqref="L79">
    <cfRule type="cellIs" dxfId="696" priority="595" operator="between">
      <formula>+TODAY()</formula>
      <formula>+HOY+10</formula>
    </cfRule>
  </conditionalFormatting>
  <conditionalFormatting sqref="L79">
    <cfRule type="cellIs" dxfId="695" priority="594" operator="between">
      <formula>+TODAY()</formula>
      <formula>+HOY+10</formula>
    </cfRule>
  </conditionalFormatting>
  <conditionalFormatting sqref="G84">
    <cfRule type="cellIs" dxfId="694" priority="589" operator="between">
      <formula>+TODAY()</formula>
      <formula>+HOY+10</formula>
    </cfRule>
  </conditionalFormatting>
  <conditionalFormatting sqref="G86">
    <cfRule type="cellIs" dxfId="693" priority="585" operator="between">
      <formula>+TODAY()</formula>
      <formula>+HOY+10</formula>
    </cfRule>
  </conditionalFormatting>
  <conditionalFormatting sqref="G86">
    <cfRule type="cellIs" dxfId="692" priority="584" operator="between">
      <formula>+TODAY()</formula>
      <formula>+HOY+10</formula>
    </cfRule>
  </conditionalFormatting>
  <conditionalFormatting sqref="M79">
    <cfRule type="cellIs" dxfId="691" priority="593" operator="between">
      <formula>+TODAY()</formula>
      <formula>+HOY+10</formula>
    </cfRule>
  </conditionalFormatting>
  <conditionalFormatting sqref="L80:L85">
    <cfRule type="cellIs" dxfId="690" priority="592" operator="between">
      <formula>+TODAY()</formula>
      <formula>+HOY+10</formula>
    </cfRule>
  </conditionalFormatting>
  <conditionalFormatting sqref="G83">
    <cfRule type="cellIs" dxfId="689" priority="590" operator="between">
      <formula>+TODAY()</formula>
      <formula>+HOY+10</formula>
    </cfRule>
  </conditionalFormatting>
  <conditionalFormatting sqref="G86">
    <cfRule type="cellIs" dxfId="688" priority="586" operator="between">
      <formula>+TODAY()</formula>
      <formula>+HOY+10</formula>
    </cfRule>
  </conditionalFormatting>
  <conditionalFormatting sqref="G86">
    <cfRule type="cellIs" dxfId="687" priority="582" operator="between">
      <formula>+TODAY()</formula>
      <formula>+HOY+10</formula>
    </cfRule>
  </conditionalFormatting>
  <conditionalFormatting sqref="G86">
    <cfRule type="cellIs" dxfId="686" priority="581" operator="between">
      <formula>+TODAY()</formula>
      <formula>+HOY+10</formula>
    </cfRule>
  </conditionalFormatting>
  <conditionalFormatting sqref="G86">
    <cfRule type="cellIs" dxfId="685" priority="579" operator="between">
      <formula>+TODAY()</formula>
      <formula>+HOY+10</formula>
    </cfRule>
  </conditionalFormatting>
  <conditionalFormatting sqref="G86">
    <cfRule type="cellIs" dxfId="684" priority="578" operator="between">
      <formula>+TODAY()</formula>
      <formula>+HOY+10</formula>
    </cfRule>
  </conditionalFormatting>
  <conditionalFormatting sqref="G86">
    <cfRule type="cellIs" dxfId="683" priority="577" operator="between">
      <formula>+TODAY()</formula>
      <formula>+HOY+10</formula>
    </cfRule>
  </conditionalFormatting>
  <conditionalFormatting sqref="G86">
    <cfRule type="cellIs" dxfId="682" priority="576" operator="between">
      <formula>+TODAY()</formula>
      <formula>+HOY+10</formula>
    </cfRule>
  </conditionalFormatting>
  <conditionalFormatting sqref="G86">
    <cfRule type="cellIs" dxfId="681" priority="574" operator="between">
      <formula>+TODAY()</formula>
      <formula>+HOY+10</formula>
    </cfRule>
  </conditionalFormatting>
  <conditionalFormatting sqref="G86">
    <cfRule type="cellIs" dxfId="680" priority="573" operator="between">
      <formula>+TODAY()</formula>
      <formula>+HOY+10</formula>
    </cfRule>
  </conditionalFormatting>
  <conditionalFormatting sqref="L86">
    <cfRule type="cellIs" dxfId="679" priority="571" operator="between">
      <formula>+TODAY()</formula>
      <formula>+HOY+10</formula>
    </cfRule>
  </conditionalFormatting>
  <conditionalFormatting sqref="L86">
    <cfRule type="cellIs" dxfId="678" priority="570" operator="between">
      <formula>+TODAY()</formula>
      <formula>+HOY+10</formula>
    </cfRule>
  </conditionalFormatting>
  <conditionalFormatting sqref="L86">
    <cfRule type="cellIs" dxfId="677" priority="569" operator="between">
      <formula>+TODAY()</formula>
      <formula>+HOY+10</formula>
    </cfRule>
  </conditionalFormatting>
  <conditionalFormatting sqref="L86">
    <cfRule type="cellIs" dxfId="676" priority="568" operator="between">
      <formula>+TODAY()</formula>
      <formula>+HOY+10</formula>
    </cfRule>
  </conditionalFormatting>
  <conditionalFormatting sqref="L86">
    <cfRule type="cellIs" dxfId="675" priority="566" operator="between">
      <formula>+TODAY()</formula>
      <formula>+HOY+10</formula>
    </cfRule>
  </conditionalFormatting>
  <conditionalFormatting sqref="L86">
    <cfRule type="cellIs" dxfId="674" priority="565" operator="between">
      <formula>+TODAY()</formula>
      <formula>+HOY+10</formula>
    </cfRule>
  </conditionalFormatting>
  <conditionalFormatting sqref="L86">
    <cfRule type="cellIs" dxfId="673" priority="561" operator="between">
      <formula>+TODAY()</formula>
      <formula>+HOY+10</formula>
    </cfRule>
  </conditionalFormatting>
  <conditionalFormatting sqref="L86">
    <cfRule type="cellIs" dxfId="672" priority="563" operator="between">
      <formula>+TODAY()</formula>
      <formula>+HOY+10</formula>
    </cfRule>
  </conditionalFormatting>
  <conditionalFormatting sqref="L86">
    <cfRule type="cellIs" dxfId="671" priority="559" operator="between">
      <formula>+TODAY()</formula>
      <formula>+HOY+10</formula>
    </cfRule>
  </conditionalFormatting>
  <conditionalFormatting sqref="L86">
    <cfRule type="cellIs" dxfId="670" priority="557" operator="between">
      <formula>+TODAY()</formula>
      <formula>+HOY+10</formula>
    </cfRule>
  </conditionalFormatting>
  <conditionalFormatting sqref="L86">
    <cfRule type="cellIs" dxfId="669" priority="558" operator="between">
      <formula>+TODAY()</formula>
      <formula>+HOY+10</formula>
    </cfRule>
  </conditionalFormatting>
  <conditionalFormatting sqref="M86:M87">
    <cfRule type="cellIs" dxfId="668" priority="556" operator="between">
      <formula>+TODAY()</formula>
      <formula>+HOY+10</formula>
    </cfRule>
  </conditionalFormatting>
  <conditionalFormatting sqref="G87">
    <cfRule type="cellIs" dxfId="667" priority="555" operator="between">
      <formula>+TODAY()</formula>
      <formula>+HOY+10</formula>
    </cfRule>
  </conditionalFormatting>
  <conditionalFormatting sqref="L87">
    <cfRule type="cellIs" dxfId="666" priority="554" operator="between">
      <formula>+TODAY()</formula>
      <formula>+HOY+10</formula>
    </cfRule>
  </conditionalFormatting>
  <conditionalFormatting sqref="L88">
    <cfRule type="cellIs" dxfId="665" priority="553" operator="between">
      <formula>+TODAY()</formula>
      <formula>+HOY+10</formula>
    </cfRule>
  </conditionalFormatting>
  <conditionalFormatting sqref="G88">
    <cfRule type="cellIs" dxfId="664" priority="551" operator="between">
      <formula>+TODAY()</formula>
      <formula>+HOY+10</formula>
    </cfRule>
  </conditionalFormatting>
  <conditionalFormatting sqref="L89">
    <cfRule type="cellIs" dxfId="663" priority="550" operator="between">
      <formula>+TODAY()</formula>
      <formula>+HOY+10</formula>
    </cfRule>
  </conditionalFormatting>
  <conditionalFormatting sqref="G89">
    <cfRule type="cellIs" dxfId="662" priority="549" operator="between">
      <formula>+TODAY()</formula>
      <formula>+HOY+10</formula>
    </cfRule>
  </conditionalFormatting>
  <conditionalFormatting sqref="M89">
    <cfRule type="cellIs" dxfId="661" priority="548" operator="between">
      <formula>+TODAY()</formula>
      <formula>+HOY+10</formula>
    </cfRule>
  </conditionalFormatting>
  <conditionalFormatting sqref="G90">
    <cfRule type="cellIs" dxfId="660" priority="546" operator="between">
      <formula>+TODAY()</formula>
      <formula>+HOY+10</formula>
    </cfRule>
  </conditionalFormatting>
  <conditionalFormatting sqref="M90:M93">
    <cfRule type="cellIs" dxfId="659" priority="545" operator="between">
      <formula>+TODAY()</formula>
      <formula>+HOY+10</formula>
    </cfRule>
  </conditionalFormatting>
  <conditionalFormatting sqref="G91">
    <cfRule type="cellIs" dxfId="658" priority="543" operator="between">
      <formula>+TODAY()</formula>
      <formula>+HOY+10</formula>
    </cfRule>
  </conditionalFormatting>
  <conditionalFormatting sqref="G95">
    <cfRule type="cellIs" dxfId="657" priority="535" operator="between">
      <formula>+TODAY()</formula>
      <formula>+HOY+10</formula>
    </cfRule>
  </conditionalFormatting>
  <conditionalFormatting sqref="L96">
    <cfRule type="cellIs" dxfId="656" priority="534" operator="between">
      <formula>+TODAY()</formula>
      <formula>+HOY+10</formula>
    </cfRule>
  </conditionalFormatting>
  <conditionalFormatting sqref="L97:L99">
    <cfRule type="cellIs" dxfId="655" priority="531" operator="between">
      <formula>+TODAY()</formula>
      <formula>+HOY+10</formula>
    </cfRule>
  </conditionalFormatting>
  <conditionalFormatting sqref="M94">
    <cfRule type="cellIs" dxfId="654" priority="532" operator="between">
      <formula>+TODAY()</formula>
      <formula>+HOY+10</formula>
    </cfRule>
  </conditionalFormatting>
  <conditionalFormatting sqref="L106">
    <cfRule type="cellIs" dxfId="653" priority="521" operator="between">
      <formula>+TODAY()</formula>
      <formula>+HOY+10</formula>
    </cfRule>
  </conditionalFormatting>
  <conditionalFormatting sqref="G107:G110">
    <cfRule type="cellIs" dxfId="652" priority="518" operator="between">
      <formula>+TODAY()</formula>
      <formula>+HOY+10</formula>
    </cfRule>
  </conditionalFormatting>
  <conditionalFormatting sqref="L107:L110">
    <cfRule type="cellIs" dxfId="651" priority="519" operator="between">
      <formula>+TODAY()</formula>
      <formula>+HOY+10</formula>
    </cfRule>
  </conditionalFormatting>
  <conditionalFormatting sqref="L111">
    <cfRule type="cellIs" dxfId="650" priority="517" operator="between">
      <formula>+TODAY()</formula>
      <formula>+HOY+10</formula>
    </cfRule>
  </conditionalFormatting>
  <conditionalFormatting sqref="G111">
    <cfRule type="cellIs" dxfId="649" priority="516" operator="between">
      <formula>+TODAY()</formula>
      <formula>+HOY+10</formula>
    </cfRule>
  </conditionalFormatting>
  <conditionalFormatting sqref="G112">
    <cfRule type="cellIs" dxfId="648" priority="513" operator="between">
      <formula>+TODAY()</formula>
      <formula>+HOY+10</formula>
    </cfRule>
  </conditionalFormatting>
  <conditionalFormatting sqref="L114">
    <cfRule type="cellIs" dxfId="647" priority="510" operator="between">
      <formula>+TODAY()</formula>
      <formula>+HOY+10</formula>
    </cfRule>
  </conditionalFormatting>
  <conditionalFormatting sqref="G114:G115">
    <cfRule type="cellIs" dxfId="646" priority="511" operator="between">
      <formula>+TODAY()</formula>
      <formula>+HOY+10</formula>
    </cfRule>
  </conditionalFormatting>
  <conditionalFormatting sqref="G113">
    <cfRule type="cellIs" dxfId="645" priority="507" operator="between">
      <formula>+TODAY()</formula>
      <formula>+HOY+10</formula>
    </cfRule>
  </conditionalFormatting>
  <conditionalFormatting sqref="L113">
    <cfRule type="cellIs" dxfId="644" priority="508" operator="between">
      <formula>+TODAY()</formula>
      <formula>+HOY+10</formula>
    </cfRule>
  </conditionalFormatting>
  <conditionalFormatting sqref="L116:L118">
    <cfRule type="cellIs" dxfId="643" priority="506" operator="between">
      <formula>+TODAY()</formula>
      <formula>+HOY+10</formula>
    </cfRule>
  </conditionalFormatting>
  <conditionalFormatting sqref="G119:G121">
    <cfRule type="cellIs" dxfId="642" priority="504" operator="between">
      <formula>+TODAY()</formula>
      <formula>+HOY+10</formula>
    </cfRule>
  </conditionalFormatting>
  <conditionalFormatting sqref="G122">
    <cfRule type="cellIs" dxfId="641" priority="501" operator="between">
      <formula>+TODAY()</formula>
      <formula>+HOY+10</formula>
    </cfRule>
  </conditionalFormatting>
  <conditionalFormatting sqref="L122">
    <cfRule type="cellIs" dxfId="640" priority="500" operator="between">
      <formula>+TODAY()</formula>
      <formula>+HOY+10</formula>
    </cfRule>
  </conditionalFormatting>
  <conditionalFormatting sqref="M122">
    <cfRule type="cellIs" dxfId="639" priority="499" operator="between">
      <formula>+TODAY()</formula>
      <formula>+HOY+10</formula>
    </cfRule>
  </conditionalFormatting>
  <conditionalFormatting sqref="G123:G125">
    <cfRule type="cellIs" dxfId="638" priority="498" operator="between">
      <formula>+TODAY()</formula>
      <formula>+HOY+10</formula>
    </cfRule>
  </conditionalFormatting>
  <conditionalFormatting sqref="L123:L125">
    <cfRule type="cellIs" dxfId="637" priority="497" operator="between">
      <formula>+TODAY()</formula>
      <formula>+HOY+10</formula>
    </cfRule>
  </conditionalFormatting>
  <conditionalFormatting sqref="M123:M125">
    <cfRule type="cellIs" dxfId="636" priority="496" operator="between">
      <formula>+TODAY()</formula>
      <formula>+HOY+10</formula>
    </cfRule>
  </conditionalFormatting>
  <conditionalFormatting sqref="G126">
    <cfRule type="cellIs" dxfId="635" priority="494" operator="between">
      <formula>+TODAY()</formula>
      <formula>+HOY+10</formula>
    </cfRule>
  </conditionalFormatting>
  <conditionalFormatting sqref="L128">
    <cfRule type="cellIs" dxfId="634" priority="488" operator="between">
      <formula>+TODAY()</formula>
      <formula>+HOY+10</formula>
    </cfRule>
  </conditionalFormatting>
  <conditionalFormatting sqref="G127">
    <cfRule type="cellIs" dxfId="633" priority="492" operator="between">
      <formula>+TODAY()</formula>
      <formula>+HOY+10</formula>
    </cfRule>
  </conditionalFormatting>
  <conditionalFormatting sqref="M126">
    <cfRule type="cellIs" dxfId="632" priority="491" operator="between">
      <formula>+TODAY()</formula>
      <formula>+HOY+10</formula>
    </cfRule>
  </conditionalFormatting>
  <conditionalFormatting sqref="M127">
    <cfRule type="cellIs" dxfId="631" priority="490" operator="between">
      <formula>+TODAY()</formula>
      <formula>+HOY+10</formula>
    </cfRule>
  </conditionalFormatting>
  <conditionalFormatting sqref="L129:L130">
    <cfRule type="cellIs" dxfId="630" priority="486" operator="between">
      <formula>+TODAY()</formula>
      <formula>+HOY+10</formula>
    </cfRule>
  </conditionalFormatting>
  <conditionalFormatting sqref="M128">
    <cfRule type="cellIs" dxfId="629" priority="487" operator="between">
      <formula>+TODAY()</formula>
      <formula>+HOY+10</formula>
    </cfRule>
  </conditionalFormatting>
  <conditionalFormatting sqref="G129:G130">
    <cfRule type="cellIs" dxfId="628" priority="485" operator="between">
      <formula>+TODAY()</formula>
      <formula>+HOY+10</formula>
    </cfRule>
  </conditionalFormatting>
  <conditionalFormatting sqref="G131">
    <cfRule type="cellIs" dxfId="627" priority="483" operator="between">
      <formula>+TODAY()</formula>
      <formula>+HOY+10</formula>
    </cfRule>
  </conditionalFormatting>
  <conditionalFormatting sqref="L132:L133">
    <cfRule type="cellIs" dxfId="626" priority="480" operator="between">
      <formula>+TODAY()</formula>
      <formula>+HOY+10</formula>
    </cfRule>
  </conditionalFormatting>
  <conditionalFormatting sqref="M129:M131">
    <cfRule type="cellIs" dxfId="625" priority="482" operator="between">
      <formula>+TODAY()</formula>
      <formula>+HOY+10</formula>
    </cfRule>
  </conditionalFormatting>
  <conditionalFormatting sqref="G134">
    <cfRule type="cellIs" dxfId="624" priority="477" operator="between">
      <formula>+TODAY()</formula>
      <formula>+HOY+10</formula>
    </cfRule>
  </conditionalFormatting>
  <conditionalFormatting sqref="L134">
    <cfRule type="cellIs" dxfId="623" priority="476" operator="between">
      <formula>+TODAY()</formula>
      <formula>+HOY+10</formula>
    </cfRule>
  </conditionalFormatting>
  <conditionalFormatting sqref="M133">
    <cfRule type="cellIs" dxfId="622" priority="478" operator="between">
      <formula>+TODAY()</formula>
      <formula>+HOY+10</formula>
    </cfRule>
  </conditionalFormatting>
  <conditionalFormatting sqref="M134:M147">
    <cfRule type="cellIs" dxfId="621" priority="475" operator="between">
      <formula>+TODAY()</formula>
      <formula>+HOY+10</formula>
    </cfRule>
  </conditionalFormatting>
  <conditionalFormatting sqref="L137">
    <cfRule type="cellIs" dxfId="620" priority="473" operator="between">
      <formula>+TODAY()</formula>
      <formula>+HOY+10</formula>
    </cfRule>
  </conditionalFormatting>
  <conditionalFormatting sqref="G138">
    <cfRule type="cellIs" dxfId="619" priority="469" operator="between">
      <formula>+TODAY()</formula>
      <formula>+HOY+10</formula>
    </cfRule>
  </conditionalFormatting>
  <conditionalFormatting sqref="L135">
    <cfRule type="cellIs" dxfId="618" priority="472" operator="between">
      <formula>+TODAY()</formula>
      <formula>+HOY+10</formula>
    </cfRule>
  </conditionalFormatting>
  <conditionalFormatting sqref="G135:G136">
    <cfRule type="cellIs" dxfId="617" priority="470" operator="between">
      <formula>+TODAY()</formula>
      <formula>+HOY+10</formula>
    </cfRule>
  </conditionalFormatting>
  <conditionalFormatting sqref="L138">
    <cfRule type="cellIs" dxfId="616" priority="468" operator="between">
      <formula>+TODAY()</formula>
      <formula>+HOY+10</formula>
    </cfRule>
  </conditionalFormatting>
  <conditionalFormatting sqref="G140:G141">
    <cfRule type="cellIs" dxfId="615" priority="465" operator="between">
      <formula>+TODAY()</formula>
      <formula>+HOY+10</formula>
    </cfRule>
  </conditionalFormatting>
  <conditionalFormatting sqref="L139">
    <cfRule type="cellIs" dxfId="614" priority="466" operator="between">
      <formula>+TODAY()</formula>
      <formula>+HOY+10</formula>
    </cfRule>
  </conditionalFormatting>
  <conditionalFormatting sqref="L140:L141">
    <cfRule type="cellIs" dxfId="613" priority="464" operator="between">
      <formula>+TODAY()</formula>
      <formula>+HOY+10</formula>
    </cfRule>
  </conditionalFormatting>
  <conditionalFormatting sqref="G143:G147">
    <cfRule type="cellIs" dxfId="612" priority="461" operator="between">
      <formula>+TODAY()</formula>
      <formula>+HOY+10</formula>
    </cfRule>
  </conditionalFormatting>
  <conditionalFormatting sqref="L143:L147">
    <cfRule type="cellIs" dxfId="611" priority="460" operator="between">
      <formula>+TODAY()</formula>
      <formula>+HOY+10</formula>
    </cfRule>
  </conditionalFormatting>
  <conditionalFormatting sqref="L148">
    <cfRule type="cellIs" dxfId="610" priority="457" operator="between">
      <formula>+TODAY()</formula>
      <formula>+HOY+10</formula>
    </cfRule>
  </conditionalFormatting>
  <conditionalFormatting sqref="G148">
    <cfRule type="cellIs" dxfId="609" priority="456" operator="between">
      <formula>+TODAY()</formula>
      <formula>+HOY+10</formula>
    </cfRule>
  </conditionalFormatting>
  <conditionalFormatting sqref="L155">
    <cfRule type="cellIs" dxfId="608" priority="455" operator="between">
      <formula>+TODAY()</formula>
      <formula>+HOY+10</formula>
    </cfRule>
  </conditionalFormatting>
  <conditionalFormatting sqref="G155">
    <cfRule type="cellIs" dxfId="607" priority="454" operator="between">
      <formula>+TODAY()</formula>
      <formula>+HOY+10</formula>
    </cfRule>
  </conditionalFormatting>
  <conditionalFormatting sqref="G156:G157">
    <cfRule type="cellIs" dxfId="606" priority="453" operator="between">
      <formula>+TODAY()</formula>
      <formula>+HOY+10</formula>
    </cfRule>
  </conditionalFormatting>
  <conditionalFormatting sqref="G158">
    <cfRule type="cellIs" dxfId="605" priority="451" operator="between">
      <formula>+TODAY()</formula>
      <formula>+HOY+10</formula>
    </cfRule>
  </conditionalFormatting>
  <conditionalFormatting sqref="L158">
    <cfRule type="cellIs" dxfId="604" priority="450" operator="between">
      <formula>+TODAY()</formula>
      <formula>+HOY+10</formula>
    </cfRule>
  </conditionalFormatting>
  <conditionalFormatting sqref="M148:M158">
    <cfRule type="cellIs" dxfId="603" priority="449" operator="between">
      <formula>+TODAY()</formula>
      <formula>+HOY+10</formula>
    </cfRule>
  </conditionalFormatting>
  <conditionalFormatting sqref="G159:G168">
    <cfRule type="cellIs" dxfId="602" priority="448" operator="between">
      <formula>+TODAY()</formula>
      <formula>+HOY+10</formula>
    </cfRule>
  </conditionalFormatting>
  <conditionalFormatting sqref="M159:M168">
    <cfRule type="cellIs" dxfId="601" priority="446" operator="between">
      <formula>+TODAY()</formula>
      <formula>+HOY+10</formula>
    </cfRule>
  </conditionalFormatting>
  <conditionalFormatting sqref="L176:L177 G176:G177">
    <cfRule type="cellIs" dxfId="600" priority="445" operator="between">
      <formula>+TODAY()</formula>
      <formula>+HOY+10</formula>
    </cfRule>
  </conditionalFormatting>
  <conditionalFormatting sqref="M176">
    <cfRule type="cellIs" dxfId="599" priority="444" operator="between">
      <formula>+TODAY()</formula>
      <formula>+HOY+10</formula>
    </cfRule>
  </conditionalFormatting>
  <conditionalFormatting sqref="M177">
    <cfRule type="cellIs" dxfId="598" priority="443" operator="between">
      <formula>+TODAY()</formula>
      <formula>+HOY+10</formula>
    </cfRule>
  </conditionalFormatting>
  <conditionalFormatting sqref="L178">
    <cfRule type="cellIs" dxfId="597" priority="442" operator="between">
      <formula>+TODAY()</formula>
      <formula>+HOY+10</formula>
    </cfRule>
  </conditionalFormatting>
  <conditionalFormatting sqref="G178">
    <cfRule type="cellIs" dxfId="596" priority="441" operator="between">
      <formula>+TODAY()</formula>
      <formula>+HOY+10</formula>
    </cfRule>
  </conditionalFormatting>
  <conditionalFormatting sqref="G179 L179">
    <cfRule type="cellIs" dxfId="595" priority="439" operator="between">
      <formula>+TODAY()</formula>
      <formula>+HOY+10</formula>
    </cfRule>
  </conditionalFormatting>
  <conditionalFormatting sqref="G180:G186 L180:L186">
    <cfRule type="cellIs" dxfId="594" priority="438" operator="between">
      <formula>+TODAY()</formula>
      <formula>+HOY+10</formula>
    </cfRule>
  </conditionalFormatting>
  <conditionalFormatting sqref="G188">
    <cfRule type="cellIs" dxfId="593" priority="434" operator="between">
      <formula>+TODAY()</formula>
      <formula>+HOY+10</formula>
    </cfRule>
  </conditionalFormatting>
  <conditionalFormatting sqref="L188">
    <cfRule type="cellIs" dxfId="592" priority="435" operator="between">
      <formula>+TODAY()</formula>
      <formula>+HOY+10</formula>
    </cfRule>
  </conditionalFormatting>
  <conditionalFormatting sqref="G189">
    <cfRule type="cellIs" dxfId="591" priority="432" operator="between">
      <formula>+TODAY()</formula>
      <formula>+HOY+10</formula>
    </cfRule>
  </conditionalFormatting>
  <conditionalFormatting sqref="G190">
    <cfRule type="cellIs" dxfId="590" priority="431" operator="between">
      <formula>+TODAY()</formula>
      <formula>+HOY+10</formula>
    </cfRule>
  </conditionalFormatting>
  <conditionalFormatting sqref="G192">
    <cfRule type="cellIs" dxfId="589" priority="427" operator="between">
      <formula>+TODAY()</formula>
      <formula>+HOY+10</formula>
    </cfRule>
  </conditionalFormatting>
  <conditionalFormatting sqref="L192">
    <cfRule type="cellIs" dxfId="588" priority="428" operator="between">
      <formula>+TODAY()</formula>
      <formula>+HOY+10</formula>
    </cfRule>
  </conditionalFormatting>
  <conditionalFormatting sqref="M179:M193">
    <cfRule type="cellIs" dxfId="587" priority="424" operator="between">
      <formula>+TODAY()</formula>
      <formula>+HOY+10</formula>
    </cfRule>
  </conditionalFormatting>
  <conditionalFormatting sqref="L194 G194">
    <cfRule type="cellIs" dxfId="586" priority="423" operator="between">
      <formula>+TODAY()</formula>
      <formula>+HOY+10</formula>
    </cfRule>
  </conditionalFormatting>
  <conditionalFormatting sqref="L197">
    <cfRule type="cellIs" dxfId="585" priority="419" operator="between">
      <formula>+TODAY()</formula>
      <formula>+HOY+10</formula>
    </cfRule>
  </conditionalFormatting>
  <conditionalFormatting sqref="L196">
    <cfRule type="cellIs" dxfId="584" priority="421" operator="between">
      <formula>+TODAY()</formula>
      <formula>+HOY+10</formula>
    </cfRule>
  </conditionalFormatting>
  <conditionalFormatting sqref="G197">
    <cfRule type="cellIs" dxfId="583" priority="418" operator="between">
      <formula>+TODAY()</formula>
      <formula>+HOY+10</formula>
    </cfRule>
  </conditionalFormatting>
  <conditionalFormatting sqref="M194:M197">
    <cfRule type="cellIs" dxfId="582" priority="417" operator="between">
      <formula>+TODAY()</formula>
      <formula>+HOY+10</formula>
    </cfRule>
  </conditionalFormatting>
  <conditionalFormatting sqref="G206:G209">
    <cfRule type="cellIs" dxfId="581" priority="414" operator="between">
      <formula>+TODAY()</formula>
      <formula>+HOY+10</formula>
    </cfRule>
  </conditionalFormatting>
  <conditionalFormatting sqref="L206:L209">
    <cfRule type="cellIs" dxfId="580" priority="413" operator="between">
      <formula>+TODAY()</formula>
      <formula>+HOY+10</formula>
    </cfRule>
  </conditionalFormatting>
  <conditionalFormatting sqref="L210">
    <cfRule type="cellIs" dxfId="579" priority="410" operator="between">
      <formula>+TODAY()</formula>
      <formula>+HOY+10</formula>
    </cfRule>
  </conditionalFormatting>
  <conditionalFormatting sqref="G210">
    <cfRule type="cellIs" dxfId="578" priority="411" operator="between">
      <formula>+TODAY()</formula>
      <formula>+HOY+10</formula>
    </cfRule>
  </conditionalFormatting>
  <conditionalFormatting sqref="L211 G211">
    <cfRule type="cellIs" dxfId="577" priority="408" operator="between">
      <formula>+TODAY()</formula>
      <formula>+HOY+10</formula>
    </cfRule>
  </conditionalFormatting>
  <conditionalFormatting sqref="G202 L202">
    <cfRule type="cellIs" dxfId="576" priority="406" operator="between">
      <formula>+TODAY()</formula>
      <formula>+HOY+10</formula>
    </cfRule>
  </conditionalFormatting>
  <conditionalFormatting sqref="G199 L199:L201">
    <cfRule type="cellIs" dxfId="575" priority="402" operator="between">
      <formula>+TODAY()</formula>
      <formula>+HOY+10</formula>
    </cfRule>
  </conditionalFormatting>
  <conditionalFormatting sqref="M199:M201">
    <cfRule type="cellIs" dxfId="574" priority="400" operator="between">
      <formula>+TODAY()</formula>
      <formula>+HOY+10</formula>
    </cfRule>
  </conditionalFormatting>
  <conditionalFormatting sqref="G171:G172">
    <cfRule type="cellIs" dxfId="573" priority="395" operator="between">
      <formula>+TODAY()</formula>
      <formula>+HOY+10</formula>
    </cfRule>
  </conditionalFormatting>
  <conditionalFormatting sqref="L171:L173">
    <cfRule type="cellIs" dxfId="572" priority="393" operator="between">
      <formula>+TODAY()</formula>
      <formula>+HOY+10</formula>
    </cfRule>
  </conditionalFormatting>
  <conditionalFormatting sqref="M169:M173">
    <cfRule type="cellIs" dxfId="571" priority="390" operator="between">
      <formula>+TODAY()</formula>
      <formula>+HOY+10</formula>
    </cfRule>
  </conditionalFormatting>
  <conditionalFormatting sqref="G212">
    <cfRule type="cellIs" dxfId="570" priority="387" operator="between">
      <formula>+TODAY()</formula>
      <formula>+HOY+10</formula>
    </cfRule>
  </conditionalFormatting>
  <conditionalFormatting sqref="M212:M217">
    <cfRule type="cellIs" dxfId="569" priority="388" operator="between">
      <formula>+TODAY()</formula>
      <formula>+HOY+10</formula>
    </cfRule>
  </conditionalFormatting>
  <conditionalFormatting sqref="G213">
    <cfRule type="cellIs" dxfId="568" priority="384" operator="between">
      <formula>+TODAY()</formula>
      <formula>+HOY+10</formula>
    </cfRule>
  </conditionalFormatting>
  <conditionalFormatting sqref="L213">
    <cfRule type="cellIs" dxfId="567" priority="385" operator="between">
      <formula>+TODAY()</formula>
      <formula>+HOY+10</formula>
    </cfRule>
  </conditionalFormatting>
  <conditionalFormatting sqref="G216">
    <cfRule type="cellIs" dxfId="566" priority="381" operator="between">
      <formula>+TODAY()</formula>
      <formula>+HOY+10</formula>
    </cfRule>
  </conditionalFormatting>
  <conditionalFormatting sqref="L214:L215">
    <cfRule type="cellIs" dxfId="565" priority="382" operator="between">
      <formula>+TODAY()</formula>
      <formula>+HOY+10</formula>
    </cfRule>
  </conditionalFormatting>
  <conditionalFormatting sqref="G219">
    <cfRule type="cellIs" dxfId="564" priority="377" operator="between">
      <formula>+TODAY()</formula>
      <formula>+HOY+10</formula>
    </cfRule>
  </conditionalFormatting>
  <conditionalFormatting sqref="L219">
    <cfRule type="cellIs" dxfId="563" priority="376" operator="between">
      <formula>+TODAY()</formula>
      <formula>+HOY+10</formula>
    </cfRule>
  </conditionalFormatting>
  <conditionalFormatting sqref="G220">
    <cfRule type="cellIs" dxfId="562" priority="375" operator="between">
      <formula>+TODAY()</formula>
      <formula>+HOY+10</formula>
    </cfRule>
  </conditionalFormatting>
  <conditionalFormatting sqref="L220">
    <cfRule type="cellIs" dxfId="561" priority="374" operator="between">
      <formula>+TODAY()</formula>
      <formula>+HOY+10</formula>
    </cfRule>
  </conditionalFormatting>
  <conditionalFormatting sqref="L221">
    <cfRule type="cellIs" dxfId="560" priority="372" operator="between">
      <formula>+TODAY()</formula>
      <formula>+HOY+10</formula>
    </cfRule>
  </conditionalFormatting>
  <conditionalFormatting sqref="L222">
    <cfRule type="cellIs" dxfId="559" priority="371" operator="between">
      <formula>+TODAY()</formula>
      <formula>+HOY+10</formula>
    </cfRule>
  </conditionalFormatting>
  <conditionalFormatting sqref="G225:G226">
    <cfRule type="cellIs" dxfId="558" priority="367" operator="between">
      <formula>+TODAY()</formula>
      <formula>+HOY+10</formula>
    </cfRule>
  </conditionalFormatting>
  <conditionalFormatting sqref="L233 G233">
    <cfRule type="cellIs" dxfId="557" priority="360" operator="between">
      <formula>+TODAY()</formula>
      <formula>+HOY+10</formula>
    </cfRule>
  </conditionalFormatting>
  <conditionalFormatting sqref="L230">
    <cfRule type="cellIs" dxfId="556" priority="361" operator="between">
      <formula>+TODAY()</formula>
      <formula>+HOY+10</formula>
    </cfRule>
  </conditionalFormatting>
  <conditionalFormatting sqref="L239 G239">
    <cfRule type="cellIs" dxfId="555" priority="355" operator="between">
      <formula>+TODAY()</formula>
      <formula>+HOY+10</formula>
    </cfRule>
  </conditionalFormatting>
  <conditionalFormatting sqref="G240 L240">
    <cfRule type="cellIs" dxfId="554" priority="354" operator="between">
      <formula>+TODAY()</formula>
      <formula>+HOY+10</formula>
    </cfRule>
  </conditionalFormatting>
  <conditionalFormatting sqref="L246">
    <cfRule type="cellIs" dxfId="553" priority="347" operator="between">
      <formula>+TODAY()</formula>
      <formula>+HOY+10</formula>
    </cfRule>
  </conditionalFormatting>
  <conditionalFormatting sqref="L244:L245">
    <cfRule type="cellIs" dxfId="552" priority="349" operator="between">
      <formula>+TODAY()</formula>
      <formula>+HOY+10</formula>
    </cfRule>
  </conditionalFormatting>
  <conditionalFormatting sqref="G246">
    <cfRule type="cellIs" dxfId="551" priority="348" operator="between">
      <formula>+TODAY()</formula>
      <formula>+HOY+10</formula>
    </cfRule>
  </conditionalFormatting>
  <conditionalFormatting sqref="G254">
    <cfRule type="cellIs" dxfId="550" priority="340" operator="between">
      <formula>+TODAY()</formula>
      <formula>+HOY+10</formula>
    </cfRule>
  </conditionalFormatting>
  <conditionalFormatting sqref="L255 G255">
    <cfRule type="cellIs" dxfId="549" priority="338" operator="between">
      <formula>+TODAY()</formula>
      <formula>+HOY+10</formula>
    </cfRule>
  </conditionalFormatting>
  <conditionalFormatting sqref="L258">
    <cfRule type="cellIs" dxfId="548" priority="334" operator="between">
      <formula>+TODAY()</formula>
      <formula>+HOY+10</formula>
    </cfRule>
  </conditionalFormatting>
  <conditionalFormatting sqref="L257">
    <cfRule type="cellIs" dxfId="547" priority="336" operator="between">
      <formula>+TODAY()</formula>
      <formula>+HOY+10</formula>
    </cfRule>
  </conditionalFormatting>
  <conditionalFormatting sqref="G258">
    <cfRule type="cellIs" dxfId="546" priority="335" operator="between">
      <formula>+TODAY()</formula>
      <formula>+HOY+10</formula>
    </cfRule>
  </conditionalFormatting>
  <conditionalFormatting sqref="L259:L265">
    <cfRule type="cellIs" dxfId="545" priority="332" operator="between">
      <formula>+TODAY()</formula>
      <formula>+HOY+10</formula>
    </cfRule>
  </conditionalFormatting>
  <conditionalFormatting sqref="G266:G267 L266:L267">
    <cfRule type="cellIs" dxfId="544" priority="331" operator="between">
      <formula>+TODAY()</formula>
      <formula>+HOY+10</formula>
    </cfRule>
  </conditionalFormatting>
  <conditionalFormatting sqref="L269">
    <cfRule type="cellIs" dxfId="543" priority="326" operator="between">
      <formula>+TODAY()</formula>
      <formula>+HOY+10</formula>
    </cfRule>
  </conditionalFormatting>
  <conditionalFormatting sqref="G270">
    <cfRule type="cellIs" dxfId="542" priority="325" operator="between">
      <formula>+TODAY()</formula>
      <formula>+HOY+10</formula>
    </cfRule>
  </conditionalFormatting>
  <conditionalFormatting sqref="G272">
    <cfRule type="cellIs" dxfId="541" priority="321" operator="between">
      <formula>+TODAY()</formula>
      <formula>+HOY+10</formula>
    </cfRule>
  </conditionalFormatting>
  <conditionalFormatting sqref="L272">
    <cfRule type="cellIs" dxfId="540" priority="320" operator="between">
      <formula>+TODAY()</formula>
      <formula>+HOY+10</formula>
    </cfRule>
  </conditionalFormatting>
  <conditionalFormatting sqref="G273">
    <cfRule type="cellIs" dxfId="539" priority="319" operator="between">
      <formula>+TODAY()</formula>
      <formula>+HOY+10</formula>
    </cfRule>
  </conditionalFormatting>
  <conditionalFormatting sqref="L273">
    <cfRule type="cellIs" dxfId="538" priority="318" operator="between">
      <formula>+TODAY()</formula>
      <formula>+HOY+10</formula>
    </cfRule>
  </conditionalFormatting>
  <conditionalFormatting sqref="G274">
    <cfRule type="cellIs" dxfId="537" priority="317" operator="between">
      <formula>+TODAY()</formula>
      <formula>+HOY+10</formula>
    </cfRule>
  </conditionalFormatting>
  <conditionalFormatting sqref="L274">
    <cfRule type="cellIs" dxfId="536" priority="316" operator="between">
      <formula>+TODAY()</formula>
      <formula>+HOY+10</formula>
    </cfRule>
  </conditionalFormatting>
  <conditionalFormatting sqref="M219:M226">
    <cfRule type="cellIs" dxfId="535" priority="315" operator="between">
      <formula>+TODAY()</formula>
      <formula>+HOY+10</formula>
    </cfRule>
  </conditionalFormatting>
  <conditionalFormatting sqref="M218">
    <cfRule type="cellIs" dxfId="534" priority="314" operator="between">
      <formula>+TODAY()</formula>
      <formula>+HOY+10</formula>
    </cfRule>
  </conditionalFormatting>
  <conditionalFormatting sqref="M227:M250">
    <cfRule type="cellIs" dxfId="533" priority="313" operator="between">
      <formula>+TODAY()</formula>
      <formula>+HOY+10</formula>
    </cfRule>
  </conditionalFormatting>
  <conditionalFormatting sqref="M251:M271">
    <cfRule type="cellIs" dxfId="532" priority="312" operator="between">
      <formula>+TODAY()</formula>
      <formula>+HOY+10</formula>
    </cfRule>
  </conditionalFormatting>
  <conditionalFormatting sqref="G275">
    <cfRule type="cellIs" dxfId="531" priority="311" operator="between">
      <formula>+TODAY()</formula>
      <formula>+HOY+10</formula>
    </cfRule>
  </conditionalFormatting>
  <conditionalFormatting sqref="L275">
    <cfRule type="cellIs" dxfId="530" priority="310" operator="between">
      <formula>+TODAY()</formula>
      <formula>+HOY+10</formula>
    </cfRule>
  </conditionalFormatting>
  <conditionalFormatting sqref="G276">
    <cfRule type="cellIs" dxfId="529" priority="309" operator="between">
      <formula>+TODAY()</formula>
      <formula>+HOY+10</formula>
    </cfRule>
  </conditionalFormatting>
  <conditionalFormatting sqref="L276">
    <cfRule type="cellIs" dxfId="528" priority="308" operator="between">
      <formula>+TODAY()</formula>
      <formula>+HOY+10</formula>
    </cfRule>
  </conditionalFormatting>
  <conditionalFormatting sqref="G277">
    <cfRule type="cellIs" dxfId="527" priority="307" operator="between">
      <formula>+TODAY()</formula>
      <formula>+HOY+10</formula>
    </cfRule>
  </conditionalFormatting>
  <conditionalFormatting sqref="L277">
    <cfRule type="cellIs" dxfId="526" priority="306" operator="between">
      <formula>+TODAY()</formula>
      <formula>+HOY+10</formula>
    </cfRule>
  </conditionalFormatting>
  <conditionalFormatting sqref="G278:G279">
    <cfRule type="cellIs" dxfId="525" priority="305" operator="between">
      <formula>+TODAY()</formula>
      <formula>+HOY+10</formula>
    </cfRule>
  </conditionalFormatting>
  <conditionalFormatting sqref="L278:L279">
    <cfRule type="cellIs" dxfId="524" priority="304" operator="between">
      <formula>+TODAY()</formula>
      <formula>+HOY+10</formula>
    </cfRule>
  </conditionalFormatting>
  <conditionalFormatting sqref="G280">
    <cfRule type="cellIs" dxfId="523" priority="303" operator="between">
      <formula>+TODAY()</formula>
      <formula>+HOY+10</formula>
    </cfRule>
  </conditionalFormatting>
  <conditionalFormatting sqref="L280">
    <cfRule type="cellIs" dxfId="522" priority="302" operator="between">
      <formula>+TODAY()</formula>
      <formula>+HOY+10</formula>
    </cfRule>
  </conditionalFormatting>
  <conditionalFormatting sqref="L281">
    <cfRule type="cellIs" dxfId="521" priority="300" operator="between">
      <formula>+TODAY()</formula>
      <formula>+HOY+10</formula>
    </cfRule>
  </conditionalFormatting>
  <conditionalFormatting sqref="L282">
    <cfRule type="cellIs" dxfId="520" priority="299" operator="between">
      <formula>+TODAY()</formula>
      <formula>+HOY+10</formula>
    </cfRule>
  </conditionalFormatting>
  <conditionalFormatting sqref="L283">
    <cfRule type="cellIs" dxfId="519" priority="297" operator="between">
      <formula>+TODAY()</formula>
      <formula>+HOY+10</formula>
    </cfRule>
  </conditionalFormatting>
  <conditionalFormatting sqref="G283">
    <cfRule type="cellIs" dxfId="518" priority="296" operator="between">
      <formula>+TODAY()</formula>
      <formula>+HOY+10</formula>
    </cfRule>
  </conditionalFormatting>
  <conditionalFormatting sqref="G284">
    <cfRule type="cellIs" dxfId="517" priority="294" operator="between">
      <formula>+TODAY()</formula>
      <formula>+HOY+10</formula>
    </cfRule>
  </conditionalFormatting>
  <conditionalFormatting sqref="L285">
    <cfRule type="cellIs" dxfId="516" priority="293" operator="between">
      <formula>+TODAY()</formula>
      <formula>+HOY+10</formula>
    </cfRule>
  </conditionalFormatting>
  <conditionalFormatting sqref="L286">
    <cfRule type="cellIs" dxfId="515" priority="291" operator="between">
      <formula>+TODAY()</formula>
      <formula>+HOY+10</formula>
    </cfRule>
  </conditionalFormatting>
  <conditionalFormatting sqref="G286">
    <cfRule type="cellIs" dxfId="514" priority="290" operator="between">
      <formula>+TODAY()</formula>
      <formula>+HOY+10</formula>
    </cfRule>
  </conditionalFormatting>
  <conditionalFormatting sqref="G287">
    <cfRule type="cellIs" dxfId="513" priority="288" operator="between">
      <formula>+TODAY()</formula>
      <formula>+HOY+10</formula>
    </cfRule>
  </conditionalFormatting>
  <conditionalFormatting sqref="L287">
    <cfRule type="cellIs" dxfId="512" priority="287" operator="between">
      <formula>+TODAY()</formula>
      <formula>+HOY+10</formula>
    </cfRule>
  </conditionalFormatting>
  <conditionalFormatting sqref="G288">
    <cfRule type="cellIs" dxfId="511" priority="286" operator="between">
      <formula>+TODAY()</formula>
      <formula>+HOY+10</formula>
    </cfRule>
  </conditionalFormatting>
  <conditionalFormatting sqref="L288">
    <cfRule type="cellIs" dxfId="510" priority="285" operator="between">
      <formula>+TODAY()</formula>
      <formula>+HOY+10</formula>
    </cfRule>
  </conditionalFormatting>
  <conditionalFormatting sqref="G289">
    <cfRule type="cellIs" dxfId="509" priority="284" operator="between">
      <formula>+TODAY()</formula>
      <formula>+HOY+10</formula>
    </cfRule>
  </conditionalFormatting>
  <conditionalFormatting sqref="L289">
    <cfRule type="cellIs" dxfId="508" priority="283" operator="between">
      <formula>+TODAY()</formula>
      <formula>+HOY+10</formula>
    </cfRule>
  </conditionalFormatting>
  <conditionalFormatting sqref="G290">
    <cfRule type="cellIs" dxfId="507" priority="282" operator="between">
      <formula>+TODAY()</formula>
      <formula>+HOY+10</formula>
    </cfRule>
  </conditionalFormatting>
  <conditionalFormatting sqref="L290">
    <cfRule type="cellIs" dxfId="506" priority="281" operator="between">
      <formula>+TODAY()</formula>
      <formula>+HOY+10</formula>
    </cfRule>
  </conditionalFormatting>
  <conditionalFormatting sqref="G291">
    <cfRule type="cellIs" dxfId="505" priority="280" operator="between">
      <formula>+TODAY()</formula>
      <formula>+HOY+10</formula>
    </cfRule>
  </conditionalFormatting>
  <conditionalFormatting sqref="L291">
    <cfRule type="cellIs" dxfId="504" priority="279" operator="between">
      <formula>+TODAY()</formula>
      <formula>+HOY+10</formula>
    </cfRule>
  </conditionalFormatting>
  <conditionalFormatting sqref="L292 G292">
    <cfRule type="cellIs" dxfId="503" priority="278" operator="between">
      <formula>+TODAY()</formula>
      <formula>+HOY+10</formula>
    </cfRule>
  </conditionalFormatting>
  <conditionalFormatting sqref="G293:G302">
    <cfRule type="cellIs" dxfId="502" priority="277" operator="between">
      <formula>+TODAY()</formula>
      <formula>+HOY+10</formula>
    </cfRule>
  </conditionalFormatting>
  <conditionalFormatting sqref="L293:L302">
    <cfRule type="cellIs" dxfId="501" priority="276" operator="between">
      <formula>+TODAY()</formula>
      <formula>+HOY+10</formula>
    </cfRule>
  </conditionalFormatting>
  <conditionalFormatting sqref="G303:G308">
    <cfRule type="cellIs" dxfId="500" priority="275" operator="between">
      <formula>+TODAY()</formula>
      <formula>+HOY+10</formula>
    </cfRule>
  </conditionalFormatting>
  <conditionalFormatting sqref="L303:L306">
    <cfRule type="cellIs" dxfId="499" priority="274" operator="between">
      <formula>+TODAY()</formula>
      <formula>+HOY+10</formula>
    </cfRule>
  </conditionalFormatting>
  <conditionalFormatting sqref="L307:L310">
    <cfRule type="cellIs" dxfId="498" priority="272" operator="between">
      <formula>+TODAY()</formula>
      <formula>+HOY+10</formula>
    </cfRule>
  </conditionalFormatting>
  <conditionalFormatting sqref="L312">
    <cfRule type="cellIs" dxfId="497" priority="268" operator="between">
      <formula>+TODAY()</formula>
      <formula>+HOY+10</formula>
    </cfRule>
  </conditionalFormatting>
  <conditionalFormatting sqref="G312">
    <cfRule type="cellIs" dxfId="496" priority="267" operator="between">
      <formula>+TODAY()</formula>
      <formula>+HOY+10</formula>
    </cfRule>
  </conditionalFormatting>
  <conditionalFormatting sqref="L313:L314">
    <cfRule type="cellIs" dxfId="495" priority="266" operator="between">
      <formula>+TODAY()</formula>
      <formula>+HOY+10</formula>
    </cfRule>
  </conditionalFormatting>
  <conditionalFormatting sqref="G313:G314">
    <cfRule type="cellIs" dxfId="494" priority="265" operator="between">
      <formula>+TODAY()</formula>
      <formula>+HOY+10</formula>
    </cfRule>
  </conditionalFormatting>
  <conditionalFormatting sqref="L315:L316">
    <cfRule type="cellIs" dxfId="493" priority="262" operator="between">
      <formula>+TODAY()</formula>
      <formula>+HOY+10</formula>
    </cfRule>
  </conditionalFormatting>
  <conditionalFormatting sqref="N314">
    <cfRule type="cellIs" dxfId="492" priority="263" operator="between">
      <formula>+TODAY()</formula>
      <formula>+HOY+10</formula>
    </cfRule>
  </conditionalFormatting>
  <conditionalFormatting sqref="G315:G316">
    <cfRule type="cellIs" dxfId="491" priority="261" operator="between">
      <formula>+TODAY()</formula>
      <formula>+HOY+10</formula>
    </cfRule>
  </conditionalFormatting>
  <conditionalFormatting sqref="L317">
    <cfRule type="cellIs" dxfId="490" priority="260" operator="between">
      <formula>+TODAY()</formula>
      <formula>+HOY+10</formula>
    </cfRule>
  </conditionalFormatting>
  <conditionalFormatting sqref="G317">
    <cfRule type="cellIs" dxfId="489" priority="259" operator="between">
      <formula>+TODAY()</formula>
      <formula>+HOY+10</formula>
    </cfRule>
  </conditionalFormatting>
  <conditionalFormatting sqref="L318">
    <cfRule type="cellIs" dxfId="488" priority="258" operator="between">
      <formula>+TODAY()</formula>
      <formula>+HOY+10</formula>
    </cfRule>
  </conditionalFormatting>
  <conditionalFormatting sqref="G318">
    <cfRule type="cellIs" dxfId="487" priority="257" operator="between">
      <formula>+TODAY()</formula>
      <formula>+HOY+10</formula>
    </cfRule>
  </conditionalFormatting>
  <conditionalFormatting sqref="N330:N334">
    <cfRule type="cellIs" dxfId="486" priority="238" operator="between">
      <formula>+TODAY()</formula>
      <formula>+HOY+10</formula>
    </cfRule>
  </conditionalFormatting>
  <conditionalFormatting sqref="G319">
    <cfRule type="cellIs" dxfId="485" priority="255" operator="between">
      <formula>+TODAY()</formula>
      <formula>+HOY+10</formula>
    </cfRule>
  </conditionalFormatting>
  <conditionalFormatting sqref="L320:L321">
    <cfRule type="cellIs" dxfId="484" priority="254" operator="between">
      <formula>+TODAY()</formula>
      <formula>+HOY+10</formula>
    </cfRule>
  </conditionalFormatting>
  <conditionalFormatting sqref="G320:G321">
    <cfRule type="cellIs" dxfId="483" priority="253" operator="between">
      <formula>+TODAY()</formula>
      <formula>+HOY+10</formula>
    </cfRule>
  </conditionalFormatting>
  <conditionalFormatting sqref="L322:L323 G322:G323">
    <cfRule type="cellIs" dxfId="482" priority="252" operator="between">
      <formula>+TODAY()</formula>
      <formula>+HOY+10</formula>
    </cfRule>
  </conditionalFormatting>
  <conditionalFormatting sqref="G324:G325">
    <cfRule type="cellIs" dxfId="481" priority="250" operator="between">
      <formula>+TODAY()</formula>
      <formula>+HOY+10</formula>
    </cfRule>
  </conditionalFormatting>
  <conditionalFormatting sqref="G326">
    <cfRule type="cellIs" dxfId="480" priority="249" operator="between">
      <formula>+TODAY()</formula>
      <formula>+HOY+10</formula>
    </cfRule>
  </conditionalFormatting>
  <conditionalFormatting sqref="L327 G327">
    <cfRule type="cellIs" dxfId="479" priority="247" operator="between">
      <formula>+TODAY()</formula>
      <formula>+HOY+10</formula>
    </cfRule>
  </conditionalFormatting>
  <conditionalFormatting sqref="G328">
    <cfRule type="cellIs" dxfId="478" priority="246" operator="between">
      <formula>+TODAY()</formula>
      <formula>+HOY+10</formula>
    </cfRule>
  </conditionalFormatting>
  <conditionalFormatting sqref="L329">
    <cfRule type="cellIs" dxfId="477" priority="243" operator="between">
      <formula>+TODAY()</formula>
      <formula>+HOY+10</formula>
    </cfRule>
  </conditionalFormatting>
  <conditionalFormatting sqref="N329">
    <cfRule type="cellIs" dxfId="476" priority="241" operator="between">
      <formula>+TODAY()</formula>
      <formula>+HOY+10</formula>
    </cfRule>
  </conditionalFormatting>
  <conditionalFormatting sqref="G330:G334">
    <cfRule type="cellIs" dxfId="475" priority="240" operator="between">
      <formula>+TODAY()</formula>
      <formula>+HOY+10</formula>
    </cfRule>
  </conditionalFormatting>
  <conditionalFormatting sqref="L335">
    <cfRule type="cellIs" dxfId="474" priority="237" operator="between">
      <formula>+TODAY()</formula>
      <formula>+HOY+10</formula>
    </cfRule>
  </conditionalFormatting>
  <conditionalFormatting sqref="G335">
    <cfRule type="cellIs" dxfId="473" priority="236" operator="between">
      <formula>+TODAY()</formula>
      <formula>+HOY+10</formula>
    </cfRule>
  </conditionalFormatting>
  <conditionalFormatting sqref="L336 G336">
    <cfRule type="cellIs" dxfId="472" priority="234" operator="between">
      <formula>+TODAY()</formula>
      <formula>+HOY+10</formula>
    </cfRule>
  </conditionalFormatting>
  <conditionalFormatting sqref="N336">
    <cfRule type="cellIs" dxfId="471" priority="233" operator="between">
      <formula>+TODAY()</formula>
      <formula>+HOY+10</formula>
    </cfRule>
  </conditionalFormatting>
  <conditionalFormatting sqref="L337">
    <cfRule type="cellIs" dxfId="470" priority="232" operator="between">
      <formula>+TODAY()</formula>
      <formula>+HOY+10</formula>
    </cfRule>
  </conditionalFormatting>
  <conditionalFormatting sqref="G337">
    <cfRule type="cellIs" dxfId="469" priority="231" operator="between">
      <formula>+TODAY()</formula>
      <formula>+HOY+10</formula>
    </cfRule>
  </conditionalFormatting>
  <conditionalFormatting sqref="N337">
    <cfRule type="cellIs" dxfId="468" priority="230" operator="between">
      <formula>+TODAY()</formula>
      <formula>+HOY+10</formula>
    </cfRule>
  </conditionalFormatting>
  <conditionalFormatting sqref="G338 L338">
    <cfRule type="cellIs" dxfId="467" priority="229" operator="between">
      <formula>+TODAY()</formula>
      <formula>+HOY+10</formula>
    </cfRule>
  </conditionalFormatting>
  <conditionalFormatting sqref="N338">
    <cfRule type="cellIs" dxfId="466" priority="228" operator="between">
      <formula>+TODAY()</formula>
      <formula>+HOY+10</formula>
    </cfRule>
  </conditionalFormatting>
  <conditionalFormatting sqref="G339:G340">
    <cfRule type="cellIs" dxfId="465" priority="227" operator="between">
      <formula>+TODAY()</formula>
      <formula>+HOY+10</formula>
    </cfRule>
  </conditionalFormatting>
  <conditionalFormatting sqref="L339:L340">
    <cfRule type="cellIs" dxfId="464" priority="226" operator="between">
      <formula>+TODAY()</formula>
      <formula>+HOY+10</formula>
    </cfRule>
  </conditionalFormatting>
  <conditionalFormatting sqref="N339">
    <cfRule type="cellIs" dxfId="463" priority="225" operator="between">
      <formula>+TODAY()</formula>
      <formula>+HOY+10</formula>
    </cfRule>
  </conditionalFormatting>
  <conditionalFormatting sqref="N340">
    <cfRule type="cellIs" dxfId="462" priority="224" operator="between">
      <formula>+TODAY()</formula>
      <formula>+HOY+10</formula>
    </cfRule>
  </conditionalFormatting>
  <conditionalFormatting sqref="L341">
    <cfRule type="cellIs" dxfId="461" priority="222" operator="between">
      <formula>+TODAY()</formula>
      <formula>+HOY+10</formula>
    </cfRule>
  </conditionalFormatting>
  <conditionalFormatting sqref="G341">
    <cfRule type="cellIs" dxfId="460" priority="223" operator="between">
      <formula>+TODAY()</formula>
      <formula>+HOY+10</formula>
    </cfRule>
  </conditionalFormatting>
  <conditionalFormatting sqref="N341">
    <cfRule type="cellIs" dxfId="459" priority="221" operator="between">
      <formula>+TODAY()</formula>
      <formula>+HOY+10</formula>
    </cfRule>
  </conditionalFormatting>
  <conditionalFormatting sqref="G342 L342">
    <cfRule type="cellIs" dxfId="458" priority="220" operator="between">
      <formula>+TODAY()</formula>
      <formula>+HOY+10</formula>
    </cfRule>
  </conditionalFormatting>
  <conditionalFormatting sqref="N342">
    <cfRule type="cellIs" dxfId="457" priority="219" operator="between">
      <formula>+TODAY()</formula>
      <formula>+HOY+10</formula>
    </cfRule>
  </conditionalFormatting>
  <conditionalFormatting sqref="G343">
    <cfRule type="cellIs" dxfId="456" priority="218" operator="between">
      <formula>+TODAY()</formula>
      <formula>+HOY+10</formula>
    </cfRule>
  </conditionalFormatting>
  <conditionalFormatting sqref="L343">
    <cfRule type="cellIs" dxfId="455" priority="217" operator="between">
      <formula>+TODAY()</formula>
      <formula>+HOY+10</formula>
    </cfRule>
  </conditionalFormatting>
  <conditionalFormatting sqref="N343">
    <cfRule type="cellIs" dxfId="454" priority="216" operator="between">
      <formula>+TODAY()</formula>
      <formula>+HOY+10</formula>
    </cfRule>
  </conditionalFormatting>
  <conditionalFormatting sqref="G344">
    <cfRule type="cellIs" dxfId="453" priority="214" operator="between">
      <formula>+TODAY()</formula>
      <formula>+HOY+10</formula>
    </cfRule>
  </conditionalFormatting>
  <conditionalFormatting sqref="L344">
    <cfRule type="cellIs" dxfId="452" priority="215" operator="between">
      <formula>+TODAY()</formula>
      <formula>+HOY+10</formula>
    </cfRule>
  </conditionalFormatting>
  <conditionalFormatting sqref="G345">
    <cfRule type="cellIs" dxfId="451" priority="213" operator="between">
      <formula>+TODAY()</formula>
      <formula>+HOY+10</formula>
    </cfRule>
  </conditionalFormatting>
  <conditionalFormatting sqref="L345">
    <cfRule type="cellIs" dxfId="450" priority="212" operator="between">
      <formula>+TODAY()</formula>
      <formula>+HOY+10</formula>
    </cfRule>
  </conditionalFormatting>
  <conditionalFormatting sqref="L346">
    <cfRule type="cellIs" dxfId="449" priority="211" operator="between">
      <formula>+TODAY()</formula>
      <formula>+HOY+10</formula>
    </cfRule>
  </conditionalFormatting>
  <conditionalFormatting sqref="G347">
    <cfRule type="cellIs" dxfId="448" priority="209" operator="between">
      <formula>+TODAY()</formula>
      <formula>+HOY+10</formula>
    </cfRule>
  </conditionalFormatting>
  <conditionalFormatting sqref="G346">
    <cfRule type="cellIs" dxfId="447" priority="210" operator="between">
      <formula>+TODAY()</formula>
      <formula>+HOY+10</formula>
    </cfRule>
  </conditionalFormatting>
  <conditionalFormatting sqref="L347">
    <cfRule type="cellIs" dxfId="446" priority="208" operator="between">
      <formula>+TODAY()</formula>
      <formula>+HOY+10</formula>
    </cfRule>
  </conditionalFormatting>
  <conditionalFormatting sqref="L348">
    <cfRule type="cellIs" dxfId="445" priority="207" operator="between">
      <formula>+TODAY()</formula>
      <formula>+HOY+10</formula>
    </cfRule>
  </conditionalFormatting>
  <conditionalFormatting sqref="G2:H2 M30:M66 H3:H392">
    <cfRule type="cellIs" dxfId="444" priority="1356" operator="between">
      <formula>+TODAY()</formula>
      <formula>+HOY+10</formula>
    </cfRule>
  </conditionalFormatting>
  <conditionalFormatting sqref="M2:M4 M7">
    <cfRule type="cellIs" dxfId="443" priority="1371" operator="between">
      <formula>+TODAY()</formula>
      <formula>+HOY+10</formula>
    </cfRule>
  </conditionalFormatting>
  <conditionalFormatting sqref="M2:M4 M7">
    <cfRule type="cellIs" dxfId="442" priority="1370" operator="between">
      <formula>+TODAY()</formula>
      <formula>+HOY+10</formula>
    </cfRule>
  </conditionalFormatting>
  <conditionalFormatting sqref="M2:M4 M7">
    <cfRule type="cellIs" dxfId="441" priority="1368" operator="between">
      <formula>+TODAY()</formula>
      <formula>+HOY+10</formula>
    </cfRule>
  </conditionalFormatting>
  <conditionalFormatting sqref="M2:M4 M7">
    <cfRule type="cellIs" dxfId="440" priority="1369" operator="between">
      <formula>+TODAY()</formula>
      <formula>+HOY+10</formula>
    </cfRule>
  </conditionalFormatting>
  <conditionalFormatting sqref="M2:M4 M7">
    <cfRule type="cellIs" dxfId="439" priority="1366" operator="between">
      <formula>+TODAY()</formula>
      <formula>+HOY+10</formula>
    </cfRule>
  </conditionalFormatting>
  <conditionalFormatting sqref="M2:M4 M7">
    <cfRule type="cellIs" dxfId="438" priority="1364" operator="between">
      <formula>+TODAY()</formula>
      <formula>+HOY+10</formula>
    </cfRule>
  </conditionalFormatting>
  <conditionalFormatting sqref="G2:H2 H3:H392">
    <cfRule type="cellIs" dxfId="437" priority="1359" operator="between">
      <formula>+TODAY()</formula>
      <formula>+HOY+10</formula>
    </cfRule>
  </conditionalFormatting>
  <conditionalFormatting sqref="M2:M4 M7">
    <cfRule type="cellIs" dxfId="436" priority="1360" operator="between">
      <formula>+TODAY()</formula>
      <formula>+HOY+10</formula>
    </cfRule>
  </conditionalFormatting>
  <conditionalFormatting sqref="M2:M4 M7">
    <cfRule type="cellIs" dxfId="435" priority="1373" operator="between">
      <formula>+TODAY()</formula>
      <formula>+HOY+10</formula>
    </cfRule>
  </conditionalFormatting>
  <conditionalFormatting sqref="M2:M4 M7">
    <cfRule type="cellIs" dxfId="434" priority="1372" operator="between">
      <formula>+TODAY()</formula>
      <formula>+HOY+10</formula>
    </cfRule>
  </conditionalFormatting>
  <conditionalFormatting sqref="M2:M4 M7">
    <cfRule type="cellIs" dxfId="433" priority="1374" operator="between">
      <formula>+TODAY()</formula>
      <formula>+HOY+10</formula>
    </cfRule>
  </conditionalFormatting>
  <conditionalFormatting sqref="M9">
    <cfRule type="cellIs" dxfId="432" priority="1318" operator="between">
      <formula>+TODAY()</formula>
      <formula>+HOY+10</formula>
    </cfRule>
  </conditionalFormatting>
  <conditionalFormatting sqref="M29">
    <cfRule type="cellIs" dxfId="431" priority="1023" operator="between">
      <formula>+TODAY()</formula>
      <formula>+HOY+10</formula>
    </cfRule>
  </conditionalFormatting>
  <conditionalFormatting sqref="M29">
    <cfRule type="cellIs" dxfId="430" priority="1035" operator="between">
      <formula>+TODAY()</formula>
      <formula>+HOY+10</formula>
    </cfRule>
  </conditionalFormatting>
  <conditionalFormatting sqref="M29">
    <cfRule type="cellIs" dxfId="429" priority="1034" operator="between">
      <formula>+TODAY()</formula>
      <formula>+HOY+10</formula>
    </cfRule>
  </conditionalFormatting>
  <conditionalFormatting sqref="M29">
    <cfRule type="cellIs" dxfId="428" priority="1032" operator="between">
      <formula>+TODAY()</formula>
      <formula>+HOY+10</formula>
    </cfRule>
  </conditionalFormatting>
  <conditionalFormatting sqref="M29">
    <cfRule type="cellIs" dxfId="427" priority="1033" operator="between">
      <formula>+TODAY()</formula>
      <formula>+HOY+10</formula>
    </cfRule>
  </conditionalFormatting>
  <conditionalFormatting sqref="M29">
    <cfRule type="cellIs" dxfId="426" priority="1031" operator="between">
      <formula>+TODAY()</formula>
      <formula>+HOY+10</formula>
    </cfRule>
  </conditionalFormatting>
  <conditionalFormatting sqref="M29">
    <cfRule type="cellIs" dxfId="425" priority="1029" operator="between">
      <formula>+TODAY()</formula>
      <formula>+HOY+10</formula>
    </cfRule>
  </conditionalFormatting>
  <conditionalFormatting sqref="M29">
    <cfRule type="cellIs" dxfId="424" priority="1030" operator="between">
      <formula>+TODAY()</formula>
      <formula>+HOY+10</formula>
    </cfRule>
  </conditionalFormatting>
  <conditionalFormatting sqref="M29">
    <cfRule type="cellIs" dxfId="423" priority="1027" operator="between">
      <formula>+TODAY()</formula>
      <formula>+HOY+10</formula>
    </cfRule>
  </conditionalFormatting>
  <conditionalFormatting sqref="M29">
    <cfRule type="cellIs" dxfId="422" priority="1028" operator="between">
      <formula>+TODAY()</formula>
      <formula>+HOY+10</formula>
    </cfRule>
  </conditionalFormatting>
  <conditionalFormatting sqref="M29">
    <cfRule type="cellIs" dxfId="421" priority="1025" operator="between">
      <formula>+TODAY()</formula>
      <formula>+HOY+10</formula>
    </cfRule>
  </conditionalFormatting>
  <conditionalFormatting sqref="M29">
    <cfRule type="cellIs" dxfId="420" priority="1026" operator="between">
      <formula>+TODAY()</formula>
      <formula>+HOY+10</formula>
    </cfRule>
  </conditionalFormatting>
  <conditionalFormatting sqref="M29">
    <cfRule type="cellIs" dxfId="419" priority="1024" operator="between">
      <formula>+TODAY()</formula>
      <formula>+HOY+10</formula>
    </cfRule>
  </conditionalFormatting>
  <conditionalFormatting sqref="M29">
    <cfRule type="cellIs" dxfId="418" priority="1036" operator="between">
      <formula>+TODAY()</formula>
      <formula>+HOY+10</formula>
    </cfRule>
  </conditionalFormatting>
  <conditionalFormatting sqref="M29">
    <cfRule type="cellIs" dxfId="417" priority="1022" operator="between">
      <formula>+TODAY()</formula>
      <formula>+HOY+10</formula>
    </cfRule>
  </conditionalFormatting>
  <conditionalFormatting sqref="M29">
    <cfRule type="cellIs" dxfId="416" priority="1021" operator="between">
      <formula>+TODAY()</formula>
      <formula>+HOY+10</formula>
    </cfRule>
  </conditionalFormatting>
  <conditionalFormatting sqref="M29">
    <cfRule type="cellIs" dxfId="415" priority="1020" operator="between">
      <formula>+TODAY()</formula>
      <formula>+HOY+10</formula>
    </cfRule>
  </conditionalFormatting>
  <conditionalFormatting sqref="M29">
    <cfRule type="cellIs" dxfId="414" priority="1019" operator="between">
      <formula>+TODAY()</formula>
      <formula>+HOY+10</formula>
    </cfRule>
  </conditionalFormatting>
  <conditionalFormatting sqref="M29">
    <cfRule type="cellIs" dxfId="413" priority="1017" operator="between">
      <formula>+TODAY()</formula>
      <formula>+HOY+10</formula>
    </cfRule>
  </conditionalFormatting>
  <conditionalFormatting sqref="M29">
    <cfRule type="cellIs" dxfId="412" priority="1016" operator="between">
      <formula>+TODAY()</formula>
      <formula>+HOY+10</formula>
    </cfRule>
  </conditionalFormatting>
  <conditionalFormatting sqref="M29">
    <cfRule type="cellIs" dxfId="411" priority="1015" operator="between">
      <formula>+TODAY()</formula>
      <formula>+HOY+10</formula>
    </cfRule>
  </conditionalFormatting>
  <conditionalFormatting sqref="M29">
    <cfRule type="cellIs" dxfId="410" priority="1018" operator="between">
      <formula>+TODAY()</formula>
      <formula>+HOY+10</formula>
    </cfRule>
  </conditionalFormatting>
  <conditionalFormatting sqref="M29">
    <cfRule type="cellIs" dxfId="409" priority="1009" operator="between">
      <formula>+TODAY()</formula>
      <formula>+HOY+10</formula>
    </cfRule>
  </conditionalFormatting>
  <conditionalFormatting sqref="M29">
    <cfRule type="cellIs" dxfId="408" priority="1008" operator="between">
      <formula>+TODAY()</formula>
      <formula>+HOY+10</formula>
    </cfRule>
  </conditionalFormatting>
  <conditionalFormatting sqref="M29">
    <cfRule type="cellIs" dxfId="407" priority="1010" operator="between">
      <formula>+TODAY()</formula>
      <formula>+HOY+10</formula>
    </cfRule>
  </conditionalFormatting>
  <conditionalFormatting sqref="M29">
    <cfRule type="cellIs" dxfId="406" priority="1014" operator="between">
      <formula>+TODAY()</formula>
      <formula>+HOY+10</formula>
    </cfRule>
  </conditionalFormatting>
  <conditionalFormatting sqref="M29">
    <cfRule type="cellIs" dxfId="405" priority="1013" operator="between">
      <formula>+TODAY()</formula>
      <formula>+HOY+10</formula>
    </cfRule>
  </conditionalFormatting>
  <conditionalFormatting sqref="M29">
    <cfRule type="cellIs" dxfId="404" priority="1012" operator="between">
      <formula>+TODAY()</formula>
      <formula>+HOY+10</formula>
    </cfRule>
  </conditionalFormatting>
  <conditionalFormatting sqref="M29">
    <cfRule type="cellIs" dxfId="403" priority="1011" operator="between">
      <formula>+TODAY()</formula>
      <formula>+HOY+10</formula>
    </cfRule>
  </conditionalFormatting>
  <conditionalFormatting sqref="D29">
    <cfRule type="cellIs" dxfId="402" priority="1007" operator="between">
      <formula>+TODAY()</formula>
      <formula>+HOY+10</formula>
    </cfRule>
  </conditionalFormatting>
  <conditionalFormatting sqref="B29">
    <cfRule type="cellIs" dxfId="401" priority="970" operator="between">
      <formula>+TODAY()</formula>
      <formula>+HOY+10</formula>
    </cfRule>
  </conditionalFormatting>
  <conditionalFormatting sqref="B29">
    <cfRule type="cellIs" dxfId="400" priority="971" operator="between">
      <formula>+TODAY()</formula>
      <formula>+HOY+10</formula>
    </cfRule>
  </conditionalFormatting>
  <conditionalFormatting sqref="B29">
    <cfRule type="cellIs" dxfId="399" priority="969" operator="between">
      <formula>+TODAY()</formula>
      <formula>+HOY+10</formula>
    </cfRule>
  </conditionalFormatting>
  <conditionalFormatting sqref="B29">
    <cfRule type="cellIs" dxfId="398" priority="974" operator="between">
      <formula>+TODAY()</formula>
      <formula>+HOY+10</formula>
    </cfRule>
  </conditionalFormatting>
  <conditionalFormatting sqref="A29">
    <cfRule type="cellIs" dxfId="397" priority="930" operator="between">
      <formula>+TODAY()</formula>
      <formula>+HOY+10</formula>
    </cfRule>
  </conditionalFormatting>
  <conditionalFormatting sqref="A29">
    <cfRule type="cellIs" dxfId="396" priority="934" operator="between">
      <formula>+TODAY()</formula>
      <formula>+HOY+10</formula>
    </cfRule>
  </conditionalFormatting>
  <conditionalFormatting sqref="A29">
    <cfRule type="cellIs" dxfId="395" priority="932" operator="between">
      <formula>+TODAY()</formula>
      <formula>+HOY+10</formula>
    </cfRule>
  </conditionalFormatting>
  <conditionalFormatting sqref="A29">
    <cfRule type="cellIs" dxfId="394" priority="933" operator="between">
      <formula>+TODAY()</formula>
      <formula>+HOY+10</formula>
    </cfRule>
  </conditionalFormatting>
  <conditionalFormatting sqref="A29">
    <cfRule type="cellIs" dxfId="393" priority="931" operator="between">
      <formula>+TODAY()</formula>
      <formula>+HOY+10</formula>
    </cfRule>
  </conditionalFormatting>
  <conditionalFormatting sqref="A29">
    <cfRule type="cellIs" dxfId="392" priority="929" operator="between">
      <formula>+TODAY()</formula>
      <formula>+HOY+10</formula>
    </cfRule>
  </conditionalFormatting>
  <conditionalFormatting sqref="A29">
    <cfRule type="cellIs" dxfId="391" priority="928" operator="between">
      <formula>+TODAY()</formula>
      <formula>+HOY+10</formula>
    </cfRule>
  </conditionalFormatting>
  <conditionalFormatting sqref="A29">
    <cfRule type="cellIs" dxfId="390" priority="927" operator="between">
      <formula>+TODAY()</formula>
      <formula>+HOY+10</formula>
    </cfRule>
  </conditionalFormatting>
  <conditionalFormatting sqref="A29">
    <cfRule type="cellIs" dxfId="389" priority="926" operator="between">
      <formula>+TODAY()</formula>
      <formula>+HOY+10</formula>
    </cfRule>
  </conditionalFormatting>
  <conditionalFormatting sqref="A29">
    <cfRule type="cellIs" dxfId="388" priority="924" operator="between">
      <formula>+TODAY()</formula>
      <formula>+HOY+10</formula>
    </cfRule>
  </conditionalFormatting>
  <conditionalFormatting sqref="A29">
    <cfRule type="cellIs" dxfId="387" priority="923" operator="between">
      <formula>+TODAY()</formula>
      <formula>+HOY+10</formula>
    </cfRule>
  </conditionalFormatting>
  <conditionalFormatting sqref="A29">
    <cfRule type="cellIs" dxfId="386" priority="922" operator="between">
      <formula>+TODAY()</formula>
      <formula>+HOY+10</formula>
    </cfRule>
  </conditionalFormatting>
  <conditionalFormatting sqref="A29">
    <cfRule type="cellIs" dxfId="385" priority="925" operator="between">
      <formula>+TODAY()</formula>
      <formula>+HOY+10</formula>
    </cfRule>
  </conditionalFormatting>
  <conditionalFormatting sqref="A29">
    <cfRule type="cellIs" dxfId="384" priority="916" operator="between">
      <formula>+TODAY()</formula>
      <formula>+HOY+10</formula>
    </cfRule>
  </conditionalFormatting>
  <conditionalFormatting sqref="A29">
    <cfRule type="cellIs" dxfId="383" priority="915" operator="between">
      <formula>+TODAY()</formula>
      <formula>+HOY+10</formula>
    </cfRule>
  </conditionalFormatting>
  <conditionalFormatting sqref="A29">
    <cfRule type="cellIs" dxfId="382" priority="917" operator="between">
      <formula>+TODAY()</formula>
      <formula>+HOY+10</formula>
    </cfRule>
  </conditionalFormatting>
  <conditionalFormatting sqref="A29">
    <cfRule type="cellIs" dxfId="381" priority="921" operator="between">
      <formula>+TODAY()</formula>
      <formula>+HOY+10</formula>
    </cfRule>
  </conditionalFormatting>
  <conditionalFormatting sqref="A29">
    <cfRule type="cellIs" dxfId="380" priority="920" operator="between">
      <formula>+TODAY()</formula>
      <formula>+HOY+10</formula>
    </cfRule>
  </conditionalFormatting>
  <conditionalFormatting sqref="A29">
    <cfRule type="cellIs" dxfId="379" priority="919" operator="between">
      <formula>+TODAY()</formula>
      <formula>+HOY+10</formula>
    </cfRule>
  </conditionalFormatting>
  <conditionalFormatting sqref="A29">
    <cfRule type="cellIs" dxfId="378" priority="918" operator="between">
      <formula>+TODAY()</formula>
      <formula>+HOY+10</formula>
    </cfRule>
  </conditionalFormatting>
  <conditionalFormatting sqref="L30">
    <cfRule type="cellIs" dxfId="377" priority="914" operator="between">
      <formula>+TODAY()</formula>
      <formula>+HOY+10</formula>
    </cfRule>
  </conditionalFormatting>
  <conditionalFormatting sqref="G30">
    <cfRule type="cellIs" dxfId="376" priority="910" operator="between">
      <formula>+TODAY()</formula>
      <formula>+HOY+10</formula>
    </cfRule>
  </conditionalFormatting>
  <conditionalFormatting sqref="G30">
    <cfRule type="cellIs" dxfId="375" priority="909" operator="between">
      <formula>+TODAY()</formula>
      <formula>+HOY+10</formula>
    </cfRule>
  </conditionalFormatting>
  <conditionalFormatting sqref="G30">
    <cfRule type="cellIs" dxfId="374" priority="911" operator="between">
      <formula>+TODAY()</formula>
      <formula>+HOY+10</formula>
    </cfRule>
  </conditionalFormatting>
  <conditionalFormatting sqref="G30">
    <cfRule type="cellIs" dxfId="373" priority="913" operator="between">
      <formula>+TODAY()</formula>
      <formula>+HOY+10</formula>
    </cfRule>
  </conditionalFormatting>
  <conditionalFormatting sqref="G30">
    <cfRule type="cellIs" dxfId="372" priority="912" operator="between">
      <formula>+TODAY()</formula>
      <formula>+HOY+10</formula>
    </cfRule>
  </conditionalFormatting>
  <conditionalFormatting sqref="G30">
    <cfRule type="cellIs" dxfId="371" priority="908" operator="between">
      <formula>+TODAY()</formula>
      <formula>+HOY+10</formula>
    </cfRule>
  </conditionalFormatting>
  <conditionalFormatting sqref="G30">
    <cfRule type="cellIs" dxfId="370" priority="907" operator="between">
      <formula>+TODAY()</formula>
      <formula>+HOY+10</formula>
    </cfRule>
  </conditionalFormatting>
  <conditionalFormatting sqref="G30">
    <cfRule type="cellIs" dxfId="369" priority="905" operator="between">
      <formula>+TODAY()</formula>
      <formula>+HOY+10</formula>
    </cfRule>
  </conditionalFormatting>
  <conditionalFormatting sqref="G30">
    <cfRule type="cellIs" dxfId="368" priority="906" operator="between">
      <formula>+TODAY()</formula>
      <formula>+HOY+10</formula>
    </cfRule>
  </conditionalFormatting>
  <conditionalFormatting sqref="G30">
    <cfRule type="cellIs" dxfId="367" priority="904" operator="between">
      <formula>+TODAY()</formula>
      <formula>+HOY+10</formula>
    </cfRule>
  </conditionalFormatting>
  <conditionalFormatting sqref="G68:G69">
    <cfRule type="cellIs" dxfId="366" priority="741" operator="between">
      <formula>+TODAY()</formula>
      <formula>+HOY+10</formula>
    </cfRule>
  </conditionalFormatting>
  <conditionalFormatting sqref="G72:G73">
    <cfRule type="cellIs" dxfId="365" priority="689" operator="between">
      <formula>+TODAY()</formula>
      <formula>+HOY+10</formula>
    </cfRule>
  </conditionalFormatting>
  <conditionalFormatting sqref="G72:G73">
    <cfRule type="cellIs" dxfId="364" priority="686" operator="between">
      <formula>+TODAY()</formula>
      <formula>+HOY+10</formula>
    </cfRule>
  </conditionalFormatting>
  <conditionalFormatting sqref="G72:G73">
    <cfRule type="cellIs" dxfId="363" priority="682" operator="between">
      <formula>+TODAY()</formula>
      <formula>+HOY+10</formula>
    </cfRule>
  </conditionalFormatting>
  <conditionalFormatting sqref="G70:G71">
    <cfRule type="cellIs" dxfId="362" priority="699" operator="between">
      <formula>+TODAY()</formula>
      <formula>+HOY+10</formula>
    </cfRule>
  </conditionalFormatting>
  <conditionalFormatting sqref="G70:G71">
    <cfRule type="cellIs" dxfId="361" priority="695" operator="between">
      <formula>+TODAY()</formula>
      <formula>+HOY+10</formula>
    </cfRule>
  </conditionalFormatting>
  <conditionalFormatting sqref="G74">
    <cfRule type="cellIs" dxfId="360" priority="676" operator="between">
      <formula>+TODAY()</formula>
      <formula>+HOY+10</formula>
    </cfRule>
  </conditionalFormatting>
  <conditionalFormatting sqref="L75">
    <cfRule type="cellIs" dxfId="359" priority="675" operator="between">
      <formula>+TODAY()</formula>
      <formula>+HOY+10</formula>
    </cfRule>
  </conditionalFormatting>
  <conditionalFormatting sqref="G75">
    <cfRule type="cellIs" dxfId="358" priority="674" operator="between">
      <formula>+TODAY()</formula>
      <formula>+HOY+10</formula>
    </cfRule>
  </conditionalFormatting>
  <conditionalFormatting sqref="L76">
    <cfRule type="cellIs" dxfId="357" priority="673" operator="between">
      <formula>+TODAY()</formula>
      <formula>+HOY+10</formula>
    </cfRule>
  </conditionalFormatting>
  <conditionalFormatting sqref="G76">
    <cfRule type="cellIs" dxfId="356" priority="672" operator="between">
      <formula>+TODAY()</formula>
      <formula>+HOY+10</formula>
    </cfRule>
  </conditionalFormatting>
  <conditionalFormatting sqref="L77">
    <cfRule type="cellIs" dxfId="355" priority="671" operator="between">
      <formula>+TODAY()</formula>
      <formula>+HOY+10</formula>
    </cfRule>
  </conditionalFormatting>
  <conditionalFormatting sqref="G77">
    <cfRule type="cellIs" dxfId="354" priority="670" operator="between">
      <formula>+TODAY()</formula>
      <formula>+HOY+10</formula>
    </cfRule>
  </conditionalFormatting>
  <conditionalFormatting sqref="L78">
    <cfRule type="cellIs" dxfId="353" priority="666" operator="between">
      <formula>+TODAY()</formula>
      <formula>+HOY+10</formula>
    </cfRule>
  </conditionalFormatting>
  <conditionalFormatting sqref="L78">
    <cfRule type="cellIs" dxfId="352" priority="665" operator="between">
      <formula>+TODAY()</formula>
      <formula>+HOY+10</formula>
    </cfRule>
  </conditionalFormatting>
  <conditionalFormatting sqref="L78">
    <cfRule type="cellIs" dxfId="351" priority="667" operator="between">
      <formula>+TODAY()</formula>
      <formula>+HOY+10</formula>
    </cfRule>
  </conditionalFormatting>
  <conditionalFormatting sqref="L78">
    <cfRule type="cellIs" dxfId="350" priority="669" operator="between">
      <formula>+TODAY()</formula>
      <formula>+HOY+10</formula>
    </cfRule>
  </conditionalFormatting>
  <conditionalFormatting sqref="L78">
    <cfRule type="cellIs" dxfId="349" priority="668" operator="between">
      <formula>+TODAY()</formula>
      <formula>+HOY+10</formula>
    </cfRule>
  </conditionalFormatting>
  <conditionalFormatting sqref="L78">
    <cfRule type="cellIs" dxfId="348" priority="664" operator="between">
      <formula>+TODAY()</formula>
      <formula>+HOY+10</formula>
    </cfRule>
  </conditionalFormatting>
  <conditionalFormatting sqref="L78">
    <cfRule type="cellIs" dxfId="347" priority="662" operator="between">
      <formula>+TODAY()</formula>
      <formula>+HOY+10</formula>
    </cfRule>
  </conditionalFormatting>
  <conditionalFormatting sqref="L78">
    <cfRule type="cellIs" dxfId="346" priority="659" operator="between">
      <formula>+TODAY()</formula>
      <formula>+HOY+10</formula>
    </cfRule>
  </conditionalFormatting>
  <conditionalFormatting sqref="L78">
    <cfRule type="cellIs" dxfId="345" priority="660" operator="between">
      <formula>+TODAY()</formula>
      <formula>+HOY+10</formula>
    </cfRule>
  </conditionalFormatting>
  <conditionalFormatting sqref="G79">
    <cfRule type="cellIs" dxfId="344" priority="628" operator="between">
      <formula>+TODAY()</formula>
      <formula>+HOY+10</formula>
    </cfRule>
  </conditionalFormatting>
  <conditionalFormatting sqref="G79">
    <cfRule type="cellIs" dxfId="343" priority="625" operator="between">
      <formula>+TODAY()</formula>
      <formula>+HOY+10</formula>
    </cfRule>
  </conditionalFormatting>
  <conditionalFormatting sqref="L79">
    <cfRule type="cellIs" dxfId="342" priority="618" operator="between">
      <formula>+TODAY()</formula>
      <formula>+HOY+10</formula>
    </cfRule>
  </conditionalFormatting>
  <conditionalFormatting sqref="L79">
    <cfRule type="cellIs" dxfId="341" priority="615" operator="between">
      <formula>+TODAY()</formula>
      <formula>+HOY+10</formula>
    </cfRule>
  </conditionalFormatting>
  <conditionalFormatting sqref="L79">
    <cfRule type="cellIs" dxfId="340" priority="612" operator="between">
      <formula>+TODAY()</formula>
      <formula>+HOY+10</formula>
    </cfRule>
  </conditionalFormatting>
  <conditionalFormatting sqref="L79">
    <cfRule type="cellIs" dxfId="339" priority="623" operator="between">
      <formula>+TODAY()</formula>
      <formula>+HOY+10</formula>
    </cfRule>
  </conditionalFormatting>
  <conditionalFormatting sqref="L79">
    <cfRule type="cellIs" dxfId="338" priority="624" operator="between">
      <formula>+TODAY()</formula>
      <formula>+HOY+10</formula>
    </cfRule>
  </conditionalFormatting>
  <conditionalFormatting sqref="L79">
    <cfRule type="cellIs" dxfId="337" priority="606" operator="between">
      <formula>+TODAY()</formula>
      <formula>+HOY+10</formula>
    </cfRule>
  </conditionalFormatting>
  <conditionalFormatting sqref="L79">
    <cfRule type="cellIs" dxfId="336" priority="601" operator="between">
      <formula>+TODAY()</formula>
      <formula>+HOY+10</formula>
    </cfRule>
  </conditionalFormatting>
  <conditionalFormatting sqref="L79">
    <cfRule type="cellIs" dxfId="335" priority="604" operator="between">
      <formula>+TODAY()</formula>
      <formula>+HOY+10</formula>
    </cfRule>
  </conditionalFormatting>
  <conditionalFormatting sqref="G80:G82">
    <cfRule type="cellIs" dxfId="334" priority="591" operator="between">
      <formula>+TODAY()</formula>
      <formula>+HOY+10</formula>
    </cfRule>
  </conditionalFormatting>
  <conditionalFormatting sqref="G85">
    <cfRule type="cellIs" dxfId="333" priority="588" operator="between">
      <formula>+TODAY()</formula>
      <formula>+HOY+10</formula>
    </cfRule>
  </conditionalFormatting>
  <conditionalFormatting sqref="M80:M85">
    <cfRule type="cellIs" dxfId="332" priority="587" operator="between">
      <formula>+TODAY()</formula>
      <formula>+HOY+10</formula>
    </cfRule>
  </conditionalFormatting>
  <conditionalFormatting sqref="G86">
    <cfRule type="cellIs" dxfId="331" priority="580" operator="between">
      <formula>+TODAY()</formula>
      <formula>+HOY+10</formula>
    </cfRule>
  </conditionalFormatting>
  <conditionalFormatting sqref="G86">
    <cfRule type="cellIs" dxfId="330" priority="575" operator="between">
      <formula>+TODAY()</formula>
      <formula>+HOY+10</formula>
    </cfRule>
  </conditionalFormatting>
  <conditionalFormatting sqref="G86">
    <cfRule type="cellIs" dxfId="329" priority="572" operator="between">
      <formula>+TODAY()</formula>
      <formula>+HOY+10</formula>
    </cfRule>
  </conditionalFormatting>
  <conditionalFormatting sqref="L86">
    <cfRule type="cellIs" dxfId="328" priority="567" operator="between">
      <formula>+TODAY()</formula>
      <formula>+HOY+10</formula>
    </cfRule>
  </conditionalFormatting>
  <conditionalFormatting sqref="L86">
    <cfRule type="cellIs" dxfId="327" priority="564" operator="between">
      <formula>+TODAY()</formula>
      <formula>+HOY+10</formula>
    </cfRule>
  </conditionalFormatting>
  <conditionalFormatting sqref="L86">
    <cfRule type="cellIs" dxfId="326" priority="560" operator="between">
      <formula>+TODAY()</formula>
      <formula>+HOY+10</formula>
    </cfRule>
  </conditionalFormatting>
  <conditionalFormatting sqref="L86">
    <cfRule type="cellIs" dxfId="325" priority="562" operator="between">
      <formula>+TODAY()</formula>
      <formula>+HOY+10</formula>
    </cfRule>
  </conditionalFormatting>
  <conditionalFormatting sqref="G86">
    <cfRule type="cellIs" dxfId="324" priority="583" operator="between">
      <formula>+TODAY()</formula>
      <formula>+HOY+10</formula>
    </cfRule>
  </conditionalFormatting>
  <conditionalFormatting sqref="M88">
    <cfRule type="cellIs" dxfId="323" priority="552" operator="between">
      <formula>+TODAY()</formula>
      <formula>+HOY+10</formula>
    </cfRule>
  </conditionalFormatting>
  <conditionalFormatting sqref="L90">
    <cfRule type="cellIs" dxfId="322" priority="547" operator="between">
      <formula>+TODAY()</formula>
      <formula>+HOY+10</formula>
    </cfRule>
  </conditionalFormatting>
  <conditionalFormatting sqref="L91">
    <cfRule type="cellIs" dxfId="321" priority="544" operator="between">
      <formula>+TODAY()</formula>
      <formula>+HOY+10</formula>
    </cfRule>
  </conditionalFormatting>
  <conditionalFormatting sqref="L92">
    <cfRule type="cellIs" dxfId="320" priority="542" operator="between">
      <formula>+TODAY()</formula>
      <formula>+HOY+10</formula>
    </cfRule>
  </conditionalFormatting>
  <conditionalFormatting sqref="G92">
    <cfRule type="cellIs" dxfId="319" priority="541" operator="between">
      <formula>+TODAY()</formula>
      <formula>+HOY+10</formula>
    </cfRule>
  </conditionalFormatting>
  <conditionalFormatting sqref="L93">
    <cfRule type="cellIs" dxfId="318" priority="540" operator="between">
      <formula>+TODAY()</formula>
      <formula>+HOY+10</formula>
    </cfRule>
  </conditionalFormatting>
  <conditionalFormatting sqref="G94">
    <cfRule type="cellIs" dxfId="317" priority="537" operator="between">
      <formula>+TODAY()</formula>
      <formula>+HOY+10</formula>
    </cfRule>
  </conditionalFormatting>
  <conditionalFormatting sqref="G93">
    <cfRule type="cellIs" dxfId="316" priority="539" operator="between">
      <formula>+TODAY()</formula>
      <formula>+HOY+10</formula>
    </cfRule>
  </conditionalFormatting>
  <conditionalFormatting sqref="L105">
    <cfRule type="cellIs" dxfId="315" priority="526" operator="between">
      <formula>+TODAY()</formula>
      <formula>+HOY+10</formula>
    </cfRule>
  </conditionalFormatting>
  <conditionalFormatting sqref="L94">
    <cfRule type="cellIs" dxfId="314" priority="538" operator="between">
      <formula>+TODAY()</formula>
      <formula>+HOY+10</formula>
    </cfRule>
  </conditionalFormatting>
  <conditionalFormatting sqref="L95">
    <cfRule type="cellIs" dxfId="313" priority="536" operator="between">
      <formula>+TODAY()</formula>
      <formula>+HOY+10</formula>
    </cfRule>
  </conditionalFormatting>
  <conditionalFormatting sqref="G96">
    <cfRule type="cellIs" dxfId="312" priority="533" operator="between">
      <formula>+TODAY()</formula>
      <formula>+HOY+10</formula>
    </cfRule>
  </conditionalFormatting>
  <conditionalFormatting sqref="G97:G99">
    <cfRule type="cellIs" dxfId="311" priority="530" operator="between">
      <formula>+TODAY()</formula>
      <formula>+HOY+10</formula>
    </cfRule>
  </conditionalFormatting>
  <conditionalFormatting sqref="L101:L102">
    <cfRule type="cellIs" dxfId="310" priority="529" operator="between">
      <formula>+TODAY()</formula>
      <formula>+HOY+10</formula>
    </cfRule>
  </conditionalFormatting>
  <conditionalFormatting sqref="L103">
    <cfRule type="cellIs" dxfId="309" priority="528" operator="between">
      <formula>+TODAY()</formula>
      <formula>+HOY+10</formula>
    </cfRule>
  </conditionalFormatting>
  <conditionalFormatting sqref="L104">
    <cfRule type="cellIs" dxfId="308" priority="527" operator="between">
      <formula>+TODAY()</formula>
      <formula>+HOY+10</formula>
    </cfRule>
  </conditionalFormatting>
  <conditionalFormatting sqref="G102:G105">
    <cfRule type="cellIs" dxfId="307" priority="525" operator="between">
      <formula>+TODAY()</formula>
      <formula>+HOY+10</formula>
    </cfRule>
  </conditionalFormatting>
  <conditionalFormatting sqref="G101">
    <cfRule type="cellIs" dxfId="306" priority="524" operator="between">
      <formula>+TODAY()</formula>
      <formula>+HOY+10</formula>
    </cfRule>
  </conditionalFormatting>
  <conditionalFormatting sqref="L100">
    <cfRule type="cellIs" dxfId="305" priority="523" operator="between">
      <formula>+TODAY()</formula>
      <formula>+HOY+10</formula>
    </cfRule>
  </conditionalFormatting>
  <conditionalFormatting sqref="G100">
    <cfRule type="cellIs" dxfId="304" priority="522" operator="between">
      <formula>+TODAY()</formula>
      <formula>+HOY+10</formula>
    </cfRule>
  </conditionalFormatting>
  <conditionalFormatting sqref="G106">
    <cfRule type="cellIs" dxfId="303" priority="520" operator="between">
      <formula>+TODAY()</formula>
      <formula>+HOY+10</formula>
    </cfRule>
  </conditionalFormatting>
  <conditionalFormatting sqref="M95:M111">
    <cfRule type="cellIs" dxfId="302" priority="515" operator="between">
      <formula>+TODAY()</formula>
      <formula>+HOY+10</formula>
    </cfRule>
  </conditionalFormatting>
  <conditionalFormatting sqref="L112">
    <cfRule type="cellIs" dxfId="301" priority="514" operator="between">
      <formula>+TODAY()</formula>
      <formula>+HOY+10</formula>
    </cfRule>
  </conditionalFormatting>
  <conditionalFormatting sqref="M112">
    <cfRule type="cellIs" dxfId="300" priority="512" operator="between">
      <formula>+TODAY()</formula>
      <formula>+HOY+10</formula>
    </cfRule>
  </conditionalFormatting>
  <conditionalFormatting sqref="L115">
    <cfRule type="cellIs" dxfId="299" priority="509" operator="between">
      <formula>+TODAY()</formula>
      <formula>+HOY+10</formula>
    </cfRule>
  </conditionalFormatting>
  <conditionalFormatting sqref="G116:G118">
    <cfRule type="cellIs" dxfId="298" priority="505" operator="between">
      <formula>+TODAY()</formula>
      <formula>+HOY+10</formula>
    </cfRule>
  </conditionalFormatting>
  <conditionalFormatting sqref="L119:L121">
    <cfRule type="cellIs" dxfId="297" priority="503" operator="between">
      <formula>+TODAY()</formula>
      <formula>+HOY+10</formula>
    </cfRule>
  </conditionalFormatting>
  <conditionalFormatting sqref="M113:M121">
    <cfRule type="cellIs" dxfId="296" priority="502" operator="between">
      <formula>+TODAY()</formula>
      <formula>+HOY+10</formula>
    </cfRule>
  </conditionalFormatting>
  <conditionalFormatting sqref="L127">
    <cfRule type="cellIs" dxfId="295" priority="493" operator="between">
      <formula>+TODAY()</formula>
      <formula>+HOY+10</formula>
    </cfRule>
  </conditionalFormatting>
  <conditionalFormatting sqref="L126">
    <cfRule type="cellIs" dxfId="294" priority="495" operator="between">
      <formula>+TODAY()</formula>
      <formula>+HOY+10</formula>
    </cfRule>
  </conditionalFormatting>
  <conditionalFormatting sqref="G128">
    <cfRule type="cellIs" dxfId="293" priority="489" operator="between">
      <formula>+TODAY()</formula>
      <formula>+HOY+10</formula>
    </cfRule>
  </conditionalFormatting>
  <conditionalFormatting sqref="G132:G133">
    <cfRule type="cellIs" dxfId="292" priority="481" operator="between">
      <formula>+TODAY()</formula>
      <formula>+HOY+10</formula>
    </cfRule>
  </conditionalFormatting>
  <conditionalFormatting sqref="L131">
    <cfRule type="cellIs" dxfId="291" priority="484" operator="between">
      <formula>+TODAY()</formula>
      <formula>+HOY+10</formula>
    </cfRule>
  </conditionalFormatting>
  <conditionalFormatting sqref="M132">
    <cfRule type="cellIs" dxfId="290" priority="479" operator="between">
      <formula>+TODAY()</formula>
      <formula>+HOY+10</formula>
    </cfRule>
  </conditionalFormatting>
  <conditionalFormatting sqref="L136">
    <cfRule type="cellIs" dxfId="289" priority="471" operator="between">
      <formula>+TODAY()</formula>
      <formula>+HOY+10</formula>
    </cfRule>
  </conditionalFormatting>
  <conditionalFormatting sqref="G137">
    <cfRule type="cellIs" dxfId="288" priority="474" operator="between">
      <formula>+TODAY()</formula>
      <formula>+HOY+10</formula>
    </cfRule>
  </conditionalFormatting>
  <conditionalFormatting sqref="G139">
    <cfRule type="cellIs" dxfId="287" priority="467" operator="between">
      <formula>+TODAY()</formula>
      <formula>+HOY+10</formula>
    </cfRule>
  </conditionalFormatting>
  <conditionalFormatting sqref="G142">
    <cfRule type="cellIs" dxfId="286" priority="463" operator="between">
      <formula>+TODAY()</formula>
      <formula>+HOY+10</formula>
    </cfRule>
  </conditionalFormatting>
  <conditionalFormatting sqref="L142">
    <cfRule type="cellIs" dxfId="285" priority="462" operator="between">
      <formula>+TODAY()</formula>
      <formula>+HOY+10</formula>
    </cfRule>
  </conditionalFormatting>
  <conditionalFormatting sqref="L149:L154">
    <cfRule type="cellIs" dxfId="284" priority="459" operator="between">
      <formula>+TODAY()</formula>
      <formula>+HOY+10</formula>
    </cfRule>
  </conditionalFormatting>
  <conditionalFormatting sqref="G149:G154">
    <cfRule type="cellIs" dxfId="283" priority="458" operator="between">
      <formula>+TODAY()</formula>
      <formula>+HOY+10</formula>
    </cfRule>
  </conditionalFormatting>
  <conditionalFormatting sqref="L156:L157">
    <cfRule type="cellIs" dxfId="282" priority="452" operator="between">
      <formula>+TODAY()</formula>
      <formula>+HOY+10</formula>
    </cfRule>
  </conditionalFormatting>
  <conditionalFormatting sqref="L159:L168">
    <cfRule type="cellIs" dxfId="281" priority="447" operator="between">
      <formula>+TODAY()</formula>
      <formula>+HOY+10</formula>
    </cfRule>
  </conditionalFormatting>
  <conditionalFormatting sqref="M178">
    <cfRule type="cellIs" dxfId="280" priority="440" operator="between">
      <formula>+TODAY()</formula>
      <formula>+HOY+10</formula>
    </cfRule>
  </conditionalFormatting>
  <conditionalFormatting sqref="G187">
    <cfRule type="cellIs" dxfId="279" priority="437" operator="between">
      <formula>+TODAY()</formula>
      <formula>+HOY+10</formula>
    </cfRule>
  </conditionalFormatting>
  <conditionalFormatting sqref="L187">
    <cfRule type="cellIs" dxfId="278" priority="436" operator="between">
      <formula>+TODAY()</formula>
      <formula>+HOY+10</formula>
    </cfRule>
  </conditionalFormatting>
  <conditionalFormatting sqref="G191 L191">
    <cfRule type="cellIs" dxfId="277" priority="433" operator="between">
      <formula>+TODAY()</formula>
      <formula>+HOY+10</formula>
    </cfRule>
  </conditionalFormatting>
  <conditionalFormatting sqref="L189">
    <cfRule type="cellIs" dxfId="276" priority="430" operator="between">
      <formula>+TODAY()</formula>
      <formula>+HOY+10</formula>
    </cfRule>
  </conditionalFormatting>
  <conditionalFormatting sqref="L190">
    <cfRule type="cellIs" dxfId="275" priority="429" operator="between">
      <formula>+TODAY()</formula>
      <formula>+HOY+10</formula>
    </cfRule>
  </conditionalFormatting>
  <conditionalFormatting sqref="L193">
    <cfRule type="cellIs" dxfId="274" priority="426" operator="between">
      <formula>+TODAY()</formula>
      <formula>+HOY+10</formula>
    </cfRule>
  </conditionalFormatting>
  <conditionalFormatting sqref="G193">
    <cfRule type="cellIs" dxfId="273" priority="425" operator="between">
      <formula>+TODAY()</formula>
      <formula>+HOY+10</formula>
    </cfRule>
  </conditionalFormatting>
  <conditionalFormatting sqref="L195 G195">
    <cfRule type="cellIs" dxfId="272" priority="422" operator="between">
      <formula>+TODAY()</formula>
      <formula>+HOY+10</formula>
    </cfRule>
  </conditionalFormatting>
  <conditionalFormatting sqref="G196">
    <cfRule type="cellIs" dxfId="271" priority="420" operator="between">
      <formula>+TODAY()</formula>
      <formula>+HOY+10</formula>
    </cfRule>
  </conditionalFormatting>
  <conditionalFormatting sqref="G198 L198">
    <cfRule type="cellIs" dxfId="270" priority="416" operator="between">
      <formula>+TODAY()</formula>
      <formula>+HOY+10</formula>
    </cfRule>
  </conditionalFormatting>
  <conditionalFormatting sqref="M198">
    <cfRule type="cellIs" dxfId="269" priority="415" operator="between">
      <formula>+TODAY()</formula>
      <formula>+HOY+10</formula>
    </cfRule>
  </conditionalFormatting>
  <conditionalFormatting sqref="M206:M209">
    <cfRule type="cellIs" dxfId="268" priority="412" operator="between">
      <formula>+TODAY()</formula>
      <formula>+HOY+10</formula>
    </cfRule>
  </conditionalFormatting>
  <conditionalFormatting sqref="M210">
    <cfRule type="cellIs" dxfId="267" priority="409" operator="between">
      <formula>+TODAY()</formula>
      <formula>+HOY+10</formula>
    </cfRule>
  </conditionalFormatting>
  <conditionalFormatting sqref="M211">
    <cfRule type="cellIs" dxfId="266" priority="407" operator="between">
      <formula>+TODAY()</formula>
      <formula>+HOY+10</formula>
    </cfRule>
  </conditionalFormatting>
  <conditionalFormatting sqref="L203:L205">
    <cfRule type="cellIs" dxfId="265" priority="405" operator="between">
      <formula>+TODAY()</formula>
      <formula>+HOY+10</formula>
    </cfRule>
  </conditionalFormatting>
  <conditionalFormatting sqref="M202:M205">
    <cfRule type="cellIs" dxfId="264" priority="403" operator="between">
      <formula>+TODAY()</formula>
      <formula>+HOY+10</formula>
    </cfRule>
  </conditionalFormatting>
  <conditionalFormatting sqref="G203:G205">
    <cfRule type="cellIs" dxfId="263" priority="404" operator="between">
      <formula>+TODAY()</formula>
      <formula>+HOY+10</formula>
    </cfRule>
  </conditionalFormatting>
  <conditionalFormatting sqref="G200:G201">
    <cfRule type="cellIs" dxfId="262" priority="401" operator="between">
      <formula>+TODAY()</formula>
      <formula>+HOY+10</formula>
    </cfRule>
  </conditionalFormatting>
  <conditionalFormatting sqref="L170">
    <cfRule type="cellIs" dxfId="261" priority="397" operator="between">
      <formula>+TODAY()</formula>
      <formula>+HOY+10</formula>
    </cfRule>
  </conditionalFormatting>
  <conditionalFormatting sqref="L169">
    <cfRule type="cellIs" dxfId="260" priority="399" operator="between">
      <formula>+TODAY()</formula>
      <formula>+HOY+10</formula>
    </cfRule>
  </conditionalFormatting>
  <conditionalFormatting sqref="G169">
    <cfRule type="cellIs" dxfId="259" priority="398" operator="between">
      <formula>+TODAY()</formula>
      <formula>+HOY+10</formula>
    </cfRule>
  </conditionalFormatting>
  <conditionalFormatting sqref="G170">
    <cfRule type="cellIs" dxfId="258" priority="396" operator="between">
      <formula>+TODAY()</formula>
      <formula>+HOY+10</formula>
    </cfRule>
  </conditionalFormatting>
  <conditionalFormatting sqref="G173">
    <cfRule type="cellIs" dxfId="257" priority="394" operator="between">
      <formula>+TODAY()</formula>
      <formula>+HOY+10</formula>
    </cfRule>
  </conditionalFormatting>
  <conditionalFormatting sqref="L174:L175">
    <cfRule type="cellIs" dxfId="256" priority="392" operator="between">
      <formula>+TODAY()</formula>
      <formula>+HOY+10</formula>
    </cfRule>
  </conditionalFormatting>
  <conditionalFormatting sqref="G174:G175">
    <cfRule type="cellIs" dxfId="255" priority="391" operator="between">
      <formula>+TODAY()</formula>
      <formula>+HOY+10</formula>
    </cfRule>
  </conditionalFormatting>
  <conditionalFormatting sqref="M174:M175">
    <cfRule type="cellIs" dxfId="254" priority="389" operator="between">
      <formula>+TODAY()</formula>
      <formula>+HOY+10</formula>
    </cfRule>
  </conditionalFormatting>
  <conditionalFormatting sqref="L212">
    <cfRule type="cellIs" dxfId="253" priority="386" operator="between">
      <formula>+TODAY()</formula>
      <formula>+HOY+10</formula>
    </cfRule>
  </conditionalFormatting>
  <conditionalFormatting sqref="G214:G215">
    <cfRule type="cellIs" dxfId="252" priority="383" operator="between">
      <formula>+TODAY()</formula>
      <formula>+HOY+10</formula>
    </cfRule>
  </conditionalFormatting>
  <conditionalFormatting sqref="L216">
    <cfRule type="cellIs" dxfId="251" priority="380" operator="between">
      <formula>+TODAY()</formula>
      <formula>+HOY+10</formula>
    </cfRule>
  </conditionalFormatting>
  <conditionalFormatting sqref="G217:G218">
    <cfRule type="cellIs" dxfId="250" priority="379" operator="between">
      <formula>+TODAY()</formula>
      <formula>+HOY+10</formula>
    </cfRule>
  </conditionalFormatting>
  <conditionalFormatting sqref="L217:L218">
    <cfRule type="cellIs" dxfId="249" priority="378" operator="between">
      <formula>+TODAY()</formula>
      <formula>+HOY+10</formula>
    </cfRule>
  </conditionalFormatting>
  <conditionalFormatting sqref="G221">
    <cfRule type="cellIs" dxfId="248" priority="373" operator="between">
      <formula>+TODAY()</formula>
      <formula>+HOY+10</formula>
    </cfRule>
  </conditionalFormatting>
  <conditionalFormatting sqref="G222">
    <cfRule type="cellIs" dxfId="247" priority="370" operator="between">
      <formula>+TODAY()</formula>
      <formula>+HOY+10</formula>
    </cfRule>
  </conditionalFormatting>
  <conditionalFormatting sqref="G223:G224">
    <cfRule type="cellIs" dxfId="246" priority="368" operator="between">
      <formula>+TODAY()</formula>
      <formula>+HOY+10</formula>
    </cfRule>
  </conditionalFormatting>
  <conditionalFormatting sqref="L223:L224">
    <cfRule type="cellIs" dxfId="245" priority="369" operator="between">
      <formula>+TODAY()</formula>
      <formula>+HOY+10</formula>
    </cfRule>
  </conditionalFormatting>
  <conditionalFormatting sqref="L225:L226">
    <cfRule type="cellIs" dxfId="244" priority="366" operator="between">
      <formula>+TODAY()</formula>
      <formula>+HOY+10</formula>
    </cfRule>
  </conditionalFormatting>
  <conditionalFormatting sqref="G229 L229">
    <cfRule type="cellIs" dxfId="243" priority="364" operator="between">
      <formula>+TODAY()</formula>
      <formula>+HOY+10</formula>
    </cfRule>
  </conditionalFormatting>
  <conditionalFormatting sqref="L227:L228 G227:G228">
    <cfRule type="cellIs" dxfId="242" priority="365" operator="between">
      <formula>+TODAY()</formula>
      <formula>+HOY+10</formula>
    </cfRule>
  </conditionalFormatting>
  <conditionalFormatting sqref="G230:G231">
    <cfRule type="cellIs" dxfId="241" priority="363" operator="between">
      <formula>+TODAY()</formula>
      <formula>+HOY+10</formula>
    </cfRule>
  </conditionalFormatting>
  <conditionalFormatting sqref="L231">
    <cfRule type="cellIs" dxfId="240" priority="362" operator="between">
      <formula>+TODAY()</formula>
      <formula>+HOY+10</formula>
    </cfRule>
  </conditionalFormatting>
  <conditionalFormatting sqref="L232">
    <cfRule type="cellIs" dxfId="239" priority="358" operator="between">
      <formula>+TODAY()</formula>
      <formula>+HOY+10</formula>
    </cfRule>
  </conditionalFormatting>
  <conditionalFormatting sqref="G232">
    <cfRule type="cellIs" dxfId="238" priority="359" operator="between">
      <formula>+TODAY()</formula>
      <formula>+HOY+10</formula>
    </cfRule>
  </conditionalFormatting>
  <conditionalFormatting sqref="L234:L237 G234:G237">
    <cfRule type="cellIs" dxfId="237" priority="357" operator="between">
      <formula>+TODAY()</formula>
      <formula>+HOY+10</formula>
    </cfRule>
  </conditionalFormatting>
  <conditionalFormatting sqref="G238 L238">
    <cfRule type="cellIs" dxfId="236" priority="356" operator="between">
      <formula>+TODAY()</formula>
      <formula>+HOY+10</formula>
    </cfRule>
  </conditionalFormatting>
  <conditionalFormatting sqref="G241 L241">
    <cfRule type="cellIs" dxfId="235" priority="353" operator="between">
      <formula>+TODAY()</formula>
      <formula>+HOY+10</formula>
    </cfRule>
  </conditionalFormatting>
  <conditionalFormatting sqref="G242 L242">
    <cfRule type="cellIs" dxfId="234" priority="352" operator="between">
      <formula>+TODAY()</formula>
      <formula>+HOY+10</formula>
    </cfRule>
  </conditionalFormatting>
  <conditionalFormatting sqref="L243 G243">
    <cfRule type="cellIs" dxfId="233" priority="351" operator="between">
      <formula>+TODAY()</formula>
      <formula>+HOY+10</formula>
    </cfRule>
  </conditionalFormatting>
  <conditionalFormatting sqref="G244:G245">
    <cfRule type="cellIs" dxfId="232" priority="350" operator="between">
      <formula>+TODAY()</formula>
      <formula>+HOY+10</formula>
    </cfRule>
  </conditionalFormatting>
  <conditionalFormatting sqref="L247:L251">
    <cfRule type="cellIs" dxfId="231" priority="345" operator="between">
      <formula>+TODAY()</formula>
      <formula>+HOY+10</formula>
    </cfRule>
  </conditionalFormatting>
  <conditionalFormatting sqref="G247:G251">
    <cfRule type="cellIs" dxfId="230" priority="346" operator="between">
      <formula>+TODAY()</formula>
      <formula>+HOY+10</formula>
    </cfRule>
  </conditionalFormatting>
  <conditionalFormatting sqref="G252">
    <cfRule type="cellIs" dxfId="229" priority="344" operator="between">
      <formula>+TODAY()</formula>
      <formula>+HOY+10</formula>
    </cfRule>
  </conditionalFormatting>
  <conditionalFormatting sqref="L252">
    <cfRule type="cellIs" dxfId="228" priority="343" operator="between">
      <formula>+TODAY()</formula>
      <formula>+HOY+10</formula>
    </cfRule>
  </conditionalFormatting>
  <conditionalFormatting sqref="G253">
    <cfRule type="cellIs" dxfId="227" priority="342" operator="between">
      <formula>+TODAY()</formula>
      <formula>+HOY+10</formula>
    </cfRule>
  </conditionalFormatting>
  <conditionalFormatting sqref="L253">
    <cfRule type="cellIs" dxfId="226" priority="341" operator="between">
      <formula>+TODAY()</formula>
      <formula>+HOY+10</formula>
    </cfRule>
  </conditionalFormatting>
  <conditionalFormatting sqref="L254">
    <cfRule type="cellIs" dxfId="225" priority="339" operator="between">
      <formula>+TODAY()</formula>
      <formula>+HOY+10</formula>
    </cfRule>
  </conditionalFormatting>
  <conditionalFormatting sqref="G257">
    <cfRule type="cellIs" dxfId="224" priority="337" operator="between">
      <formula>+TODAY()</formula>
      <formula>+HOY+10</formula>
    </cfRule>
  </conditionalFormatting>
  <conditionalFormatting sqref="G259:G265">
    <cfRule type="cellIs" dxfId="223" priority="333" operator="between">
      <formula>+TODAY()</formula>
      <formula>+HOY+10</formula>
    </cfRule>
  </conditionalFormatting>
  <conditionalFormatting sqref="L256 G256">
    <cfRule type="cellIs" dxfId="222" priority="330" operator="between">
      <formula>+TODAY()</formula>
      <formula>+HOY+10</formula>
    </cfRule>
  </conditionalFormatting>
  <conditionalFormatting sqref="G268">
    <cfRule type="cellIs" dxfId="221" priority="329" operator="between">
      <formula>+TODAY()</formula>
      <formula>+HOY+10</formula>
    </cfRule>
  </conditionalFormatting>
  <conditionalFormatting sqref="L268">
    <cfRule type="cellIs" dxfId="220" priority="328" operator="between">
      <formula>+TODAY()</formula>
      <formula>+HOY+10</formula>
    </cfRule>
  </conditionalFormatting>
  <conditionalFormatting sqref="G269">
    <cfRule type="cellIs" dxfId="219" priority="327" operator="between">
      <formula>+TODAY()</formula>
      <formula>+HOY+10</formula>
    </cfRule>
  </conditionalFormatting>
  <conditionalFormatting sqref="L270">
    <cfRule type="cellIs" dxfId="218" priority="324" operator="between">
      <formula>+TODAY()</formula>
      <formula>+HOY+10</formula>
    </cfRule>
  </conditionalFormatting>
  <conditionalFormatting sqref="G271">
    <cfRule type="cellIs" dxfId="217" priority="323" operator="between">
      <formula>+TODAY()</formula>
      <formula>+HOY+10</formula>
    </cfRule>
  </conditionalFormatting>
  <conditionalFormatting sqref="L271">
    <cfRule type="cellIs" dxfId="216" priority="322" operator="between">
      <formula>+TODAY()</formula>
      <formula>+HOY+10</formula>
    </cfRule>
  </conditionalFormatting>
  <conditionalFormatting sqref="G281">
    <cfRule type="cellIs" dxfId="215" priority="301" operator="between">
      <formula>+TODAY()</formula>
      <formula>+HOY+10</formula>
    </cfRule>
  </conditionalFormatting>
  <conditionalFormatting sqref="G282">
    <cfRule type="cellIs" dxfId="214" priority="298" operator="between">
      <formula>+TODAY()</formula>
      <formula>+HOY+10</formula>
    </cfRule>
  </conditionalFormatting>
  <conditionalFormatting sqref="L284">
    <cfRule type="cellIs" dxfId="213" priority="295" operator="between">
      <formula>+TODAY()</formula>
      <formula>+HOY+10</formula>
    </cfRule>
  </conditionalFormatting>
  <conditionalFormatting sqref="G285">
    <cfRule type="cellIs" dxfId="212" priority="292" operator="between">
      <formula>+TODAY()</formula>
      <formula>+HOY+10</formula>
    </cfRule>
  </conditionalFormatting>
  <conditionalFormatting sqref="N286">
    <cfRule type="cellIs" dxfId="211" priority="289" operator="between">
      <formula>+TODAY()</formula>
      <formula>+HOY+10</formula>
    </cfRule>
  </conditionalFormatting>
  <conditionalFormatting sqref="G309:G310">
    <cfRule type="cellIs" dxfId="210" priority="273" operator="between">
      <formula>+TODAY()</formula>
      <formula>+HOY+10</formula>
    </cfRule>
  </conditionalFormatting>
  <conditionalFormatting sqref="L311">
    <cfRule type="cellIs" dxfId="209" priority="271" operator="between">
      <formula>+TODAY()</formula>
      <formula>+HOY+10</formula>
    </cfRule>
  </conditionalFormatting>
  <conditionalFormatting sqref="G311">
    <cfRule type="cellIs" dxfId="208" priority="270" operator="between">
      <formula>+TODAY()</formula>
      <formula>+HOY+10</formula>
    </cfRule>
  </conditionalFormatting>
  <conditionalFormatting sqref="N312">
    <cfRule type="cellIs" dxfId="207" priority="269" operator="between">
      <formula>+TODAY()</formula>
      <formula>+HOY+10</formula>
    </cfRule>
  </conditionalFormatting>
  <conditionalFormatting sqref="N313">
    <cfRule type="cellIs" dxfId="206" priority="264" operator="between">
      <formula>+TODAY()</formula>
      <formula>+HOY+10</formula>
    </cfRule>
  </conditionalFormatting>
  <conditionalFormatting sqref="L319">
    <cfRule type="cellIs" dxfId="205" priority="256" operator="between">
      <formula>+TODAY()</formula>
      <formula>+HOY+10</formula>
    </cfRule>
  </conditionalFormatting>
  <conditionalFormatting sqref="L324:L325">
    <cfRule type="cellIs" dxfId="204" priority="251" operator="between">
      <formula>+TODAY()</formula>
      <formula>+HOY+10</formula>
    </cfRule>
  </conditionalFormatting>
  <conditionalFormatting sqref="L326">
    <cfRule type="cellIs" dxfId="203" priority="248" operator="between">
      <formula>+TODAY()</formula>
      <formula>+HOY+10</formula>
    </cfRule>
  </conditionalFormatting>
  <conditionalFormatting sqref="L328">
    <cfRule type="cellIs" dxfId="202" priority="245" operator="between">
      <formula>+TODAY()</formula>
      <formula>+HOY+10</formula>
    </cfRule>
  </conditionalFormatting>
  <conditionalFormatting sqref="G329">
    <cfRule type="cellIs" dxfId="201" priority="242" operator="between">
      <formula>+TODAY()</formula>
      <formula>+HOY+10</formula>
    </cfRule>
  </conditionalFormatting>
  <conditionalFormatting sqref="L330:L334">
    <cfRule type="cellIs" dxfId="200" priority="239" operator="between">
      <formula>+TODAY()</formula>
      <formula>+HOY+10</formula>
    </cfRule>
  </conditionalFormatting>
  <conditionalFormatting sqref="N335">
    <cfRule type="cellIs" dxfId="199" priority="235" operator="between">
      <formula>+TODAY()</formula>
      <formula>+HOY+10</formula>
    </cfRule>
  </conditionalFormatting>
  <conditionalFormatting sqref="G349">
    <cfRule type="cellIs" dxfId="198" priority="206" operator="between">
      <formula>+TODAY()</formula>
      <formula>+HOY+10</formula>
    </cfRule>
  </conditionalFormatting>
  <conditionalFormatting sqref="L349">
    <cfRule type="cellIs" dxfId="197" priority="205" operator="between">
      <formula>+TODAY()</formula>
      <formula>+HOY+10</formula>
    </cfRule>
  </conditionalFormatting>
  <conditionalFormatting sqref="G350">
    <cfRule type="cellIs" dxfId="196" priority="204" operator="between">
      <formula>+TODAY()</formula>
      <formula>+HOY+10</formula>
    </cfRule>
  </conditionalFormatting>
  <conditionalFormatting sqref="L350">
    <cfRule type="cellIs" dxfId="195" priority="203" operator="between">
      <formula>+TODAY()</formula>
      <formula>+HOY+10</formula>
    </cfRule>
  </conditionalFormatting>
  <conditionalFormatting sqref="G351">
    <cfRule type="cellIs" dxfId="194" priority="202" operator="between">
      <formula>+TODAY()</formula>
      <formula>+HOY+10</formula>
    </cfRule>
  </conditionalFormatting>
  <conditionalFormatting sqref="L351">
    <cfRule type="cellIs" dxfId="193" priority="201" operator="between">
      <formula>+TODAY()</formula>
      <formula>+HOY+10</formula>
    </cfRule>
  </conditionalFormatting>
  <conditionalFormatting sqref="L352">
    <cfRule type="cellIs" dxfId="192" priority="200" operator="between">
      <formula>+TODAY()</formula>
      <formula>+HOY+10</formula>
    </cfRule>
  </conditionalFormatting>
  <conditionalFormatting sqref="L355">
    <cfRule type="cellIs" dxfId="191" priority="195" operator="between">
      <formula>+TODAY()</formula>
      <formula>+HOY+10</formula>
    </cfRule>
  </conditionalFormatting>
  <conditionalFormatting sqref="N354:N355">
    <cfRule type="cellIs" dxfId="190" priority="199" operator="between">
      <formula>+TODAY()</formula>
      <formula>+HOY+10</formula>
    </cfRule>
  </conditionalFormatting>
  <conditionalFormatting sqref="L354">
    <cfRule type="cellIs" dxfId="189" priority="198" operator="between">
      <formula>+TODAY()</formula>
      <formula>+HOY+10</formula>
    </cfRule>
  </conditionalFormatting>
  <conditionalFormatting sqref="G354">
    <cfRule type="cellIs" dxfId="188" priority="197" operator="between">
      <formula>+TODAY()</formula>
      <formula>+HOY+10</formula>
    </cfRule>
  </conditionalFormatting>
  <conditionalFormatting sqref="G355">
    <cfRule type="cellIs" dxfId="187" priority="196" operator="between">
      <formula>+TODAY()</formula>
      <formula>+HOY+10</formula>
    </cfRule>
  </conditionalFormatting>
  <conditionalFormatting sqref="G356">
    <cfRule type="cellIs" dxfId="186" priority="194" operator="between">
      <formula>+TODAY()</formula>
      <formula>+HOY+10</formula>
    </cfRule>
  </conditionalFormatting>
  <conditionalFormatting sqref="L356">
    <cfRule type="cellIs" dxfId="185" priority="193" operator="between">
      <formula>+TODAY()</formula>
      <formula>+HOY+10</formula>
    </cfRule>
  </conditionalFormatting>
  <conditionalFormatting sqref="L357">
    <cfRule type="cellIs" dxfId="184" priority="191" operator="between">
      <formula>+TODAY()</formula>
      <formula>+HOY+10</formula>
    </cfRule>
  </conditionalFormatting>
  <conditionalFormatting sqref="G357">
    <cfRule type="cellIs" dxfId="183" priority="192" operator="between">
      <formula>+TODAY()</formula>
      <formula>+HOY+10</formula>
    </cfRule>
  </conditionalFormatting>
  <conditionalFormatting sqref="G358">
    <cfRule type="cellIs" dxfId="182" priority="190" operator="between">
      <formula>+TODAY()</formula>
      <formula>+HOY+10</formula>
    </cfRule>
  </conditionalFormatting>
  <conditionalFormatting sqref="L358">
    <cfRule type="cellIs" dxfId="181" priority="189" operator="between">
      <formula>+TODAY()</formula>
      <formula>+HOY+10</formula>
    </cfRule>
  </conditionalFormatting>
  <conditionalFormatting sqref="G359:G360">
    <cfRule type="cellIs" dxfId="180" priority="187" operator="between">
      <formula>+TODAY()</formula>
      <formula>+HOY+10</formula>
    </cfRule>
  </conditionalFormatting>
  <conditionalFormatting sqref="L359:L360">
    <cfRule type="cellIs" dxfId="179" priority="188" operator="between">
      <formula>+TODAY()</formula>
      <formula>+HOY+10</formula>
    </cfRule>
  </conditionalFormatting>
  <conditionalFormatting sqref="G361 L361">
    <cfRule type="cellIs" dxfId="178" priority="186" operator="between">
      <formula>+TODAY()</formula>
      <formula>+HOY+10</formula>
    </cfRule>
  </conditionalFormatting>
  <conditionalFormatting sqref="G362:G365 L362:L365">
    <cfRule type="cellIs" dxfId="177" priority="185" operator="between">
      <formula>+TODAY()</formula>
      <formula>+HOY+10</formula>
    </cfRule>
  </conditionalFormatting>
  <conditionalFormatting sqref="G366">
    <cfRule type="cellIs" dxfId="176" priority="184" operator="between">
      <formula>+TODAY()</formula>
      <formula>+HOY+10</formula>
    </cfRule>
  </conditionalFormatting>
  <conditionalFormatting sqref="L366">
    <cfRule type="cellIs" dxfId="175" priority="183" operator="between">
      <formula>+TODAY()</formula>
      <formula>+HOY+10</formula>
    </cfRule>
  </conditionalFormatting>
  <conditionalFormatting sqref="L353">
    <cfRule type="cellIs" dxfId="174" priority="181" operator="between">
      <formula>+TODAY()</formula>
      <formula>+HOY+10</formula>
    </cfRule>
  </conditionalFormatting>
  <conditionalFormatting sqref="G353">
    <cfRule type="cellIs" dxfId="173" priority="180" operator="between">
      <formula>+TODAY()</formula>
      <formula>+HOY+10</formula>
    </cfRule>
  </conditionalFormatting>
  <conditionalFormatting sqref="L367">
    <cfRule type="cellIs" dxfId="172" priority="179" operator="between">
      <formula>+TODAY()</formula>
      <formula>+HOY+10</formula>
    </cfRule>
  </conditionalFormatting>
  <conditionalFormatting sqref="G367">
    <cfRule type="cellIs" dxfId="171" priority="178" operator="between">
      <formula>+TODAY()</formula>
      <formula>+HOY+10</formula>
    </cfRule>
  </conditionalFormatting>
  <conditionalFormatting sqref="E367">
    <cfRule type="cellIs" dxfId="170" priority="177" operator="between">
      <formula>+TODAY()</formula>
      <formula>+HOY+10</formula>
    </cfRule>
  </conditionalFormatting>
  <conditionalFormatting sqref="G368">
    <cfRule type="cellIs" dxfId="169" priority="176" operator="between">
      <formula>+TODAY()</formula>
      <formula>+HOY+10</formula>
    </cfRule>
  </conditionalFormatting>
  <conditionalFormatting sqref="L368">
    <cfRule type="cellIs" dxfId="168" priority="175" operator="between">
      <formula>+TODAY()</formula>
      <formula>+HOY+10</formula>
    </cfRule>
  </conditionalFormatting>
  <conditionalFormatting sqref="G369">
    <cfRule type="cellIs" dxfId="167" priority="174" operator="between">
      <formula>+TODAY()</formula>
      <formula>+HOY+10</formula>
    </cfRule>
  </conditionalFormatting>
  <conditionalFormatting sqref="G370:G371">
    <cfRule type="cellIs" dxfId="166" priority="172" operator="between">
      <formula>+TODAY()</formula>
      <formula>+HOY+10</formula>
    </cfRule>
  </conditionalFormatting>
  <conditionalFormatting sqref="M370:M371">
    <cfRule type="cellIs" dxfId="165" priority="173" operator="between">
      <formula>+TODAY()</formula>
      <formula>+HOY+10</formula>
    </cfRule>
  </conditionalFormatting>
  <conditionalFormatting sqref="L370:L371">
    <cfRule type="cellIs" dxfId="164" priority="171" operator="between">
      <formula>+TODAY()</formula>
      <formula>+HOY+10</formula>
    </cfRule>
  </conditionalFormatting>
  <conditionalFormatting sqref="G372:G374 L372:L374">
    <cfRule type="cellIs" dxfId="163" priority="170" operator="between">
      <formula>+TODAY()</formula>
      <formula>+HOY+10</formula>
    </cfRule>
  </conditionalFormatting>
  <conditionalFormatting sqref="G375">
    <cfRule type="cellIs" dxfId="162" priority="168" operator="between">
      <formula>+TODAY()</formula>
      <formula>+HOY+10</formula>
    </cfRule>
  </conditionalFormatting>
  <conditionalFormatting sqref="L375">
    <cfRule type="cellIs" dxfId="161" priority="167" operator="between">
      <formula>+TODAY()</formula>
      <formula>+HOY+10</formula>
    </cfRule>
  </conditionalFormatting>
  <conditionalFormatting sqref="G376">
    <cfRule type="cellIs" dxfId="160" priority="164" operator="between">
      <formula>+TODAY()</formula>
      <formula>+HOY+10</formula>
    </cfRule>
  </conditionalFormatting>
  <conditionalFormatting sqref="L376">
    <cfRule type="cellIs" dxfId="159" priority="163" operator="between">
      <formula>+TODAY()</formula>
      <formula>+HOY+10</formula>
    </cfRule>
  </conditionalFormatting>
  <conditionalFormatting sqref="G377">
    <cfRule type="cellIs" dxfId="158" priority="162" operator="between">
      <formula>+TODAY()</formula>
      <formula>+HOY+10</formula>
    </cfRule>
  </conditionalFormatting>
  <conditionalFormatting sqref="L377">
    <cfRule type="cellIs" dxfId="157" priority="161" operator="between">
      <formula>+TODAY()</formula>
      <formula>+HOY+10</formula>
    </cfRule>
  </conditionalFormatting>
  <conditionalFormatting sqref="G380">
    <cfRule type="cellIs" dxfId="156" priority="159" operator="between">
      <formula>+TODAY()</formula>
      <formula>+HOY+10</formula>
    </cfRule>
  </conditionalFormatting>
  <conditionalFormatting sqref="G378">
    <cfRule type="cellIs" dxfId="155" priority="158" operator="between">
      <formula>+TODAY()</formula>
      <formula>+HOY+10</formula>
    </cfRule>
  </conditionalFormatting>
  <conditionalFormatting sqref="L378 L380">
    <cfRule type="cellIs" dxfId="154" priority="157" operator="between">
      <formula>+TODAY()</formula>
      <formula>+HOY+10</formula>
    </cfRule>
  </conditionalFormatting>
  <conditionalFormatting sqref="G379">
    <cfRule type="cellIs" dxfId="153" priority="155" operator="between">
      <formula>+TODAY()</formula>
      <formula>+HOY+10</formula>
    </cfRule>
  </conditionalFormatting>
  <conditionalFormatting sqref="L379">
    <cfRule type="cellIs" dxfId="152" priority="154" operator="between">
      <formula>+TODAY()</formula>
      <formula>+HOY+10</formula>
    </cfRule>
  </conditionalFormatting>
  <conditionalFormatting sqref="G381">
    <cfRule type="cellIs" dxfId="151" priority="152" operator="between">
      <formula>+TODAY()</formula>
      <formula>+HOY+10</formula>
    </cfRule>
  </conditionalFormatting>
  <conditionalFormatting sqref="L381">
    <cfRule type="cellIs" dxfId="150" priority="151" operator="between">
      <formula>+TODAY()</formula>
      <formula>+HOY+10</formula>
    </cfRule>
  </conditionalFormatting>
  <conditionalFormatting sqref="G382">
    <cfRule type="cellIs" dxfId="149" priority="149" operator="between">
      <formula>+TODAY()</formula>
      <formula>+HOY+10</formula>
    </cfRule>
  </conditionalFormatting>
  <conditionalFormatting sqref="L382">
    <cfRule type="cellIs" dxfId="148" priority="148" operator="between">
      <formula>+TODAY()</formula>
      <formula>+HOY+10</formula>
    </cfRule>
  </conditionalFormatting>
  <conditionalFormatting sqref="G383">
    <cfRule type="cellIs" dxfId="147" priority="145" operator="between">
      <formula>+TODAY()</formula>
      <formula>+HOY+10</formula>
    </cfRule>
  </conditionalFormatting>
  <conditionalFormatting sqref="L383">
    <cfRule type="cellIs" dxfId="146" priority="144" operator="between">
      <formula>+TODAY()</formula>
      <formula>+HOY+10</formula>
    </cfRule>
  </conditionalFormatting>
  <conditionalFormatting sqref="G384">
    <cfRule type="cellIs" dxfId="145" priority="142" operator="between">
      <formula>+TODAY()</formula>
      <formula>+HOY+10</formula>
    </cfRule>
  </conditionalFormatting>
  <conditionalFormatting sqref="L384">
    <cfRule type="cellIs" dxfId="144" priority="141" operator="between">
      <formula>+TODAY()</formula>
      <formula>+HOY+10</formula>
    </cfRule>
  </conditionalFormatting>
  <conditionalFormatting sqref="G385:G386">
    <cfRule type="cellIs" dxfId="143" priority="140" operator="between">
      <formula>+TODAY()</formula>
      <formula>+HOY+10</formula>
    </cfRule>
  </conditionalFormatting>
  <conditionalFormatting sqref="L385:L386">
    <cfRule type="cellIs" dxfId="142" priority="139" operator="between">
      <formula>+TODAY()</formula>
      <formula>+HOY+10</formula>
    </cfRule>
  </conditionalFormatting>
  <conditionalFormatting sqref="L387">
    <cfRule type="cellIs" dxfId="141" priority="138" operator="between">
      <formula>+TODAY()</formula>
      <formula>+HOY+10</formula>
    </cfRule>
  </conditionalFormatting>
  <conditionalFormatting sqref="G387">
    <cfRule type="cellIs" dxfId="140" priority="137" operator="between">
      <formula>+TODAY()</formula>
      <formula>+HOY+10</formula>
    </cfRule>
  </conditionalFormatting>
  <conditionalFormatting sqref="G388">
    <cfRule type="cellIs" dxfId="139" priority="135" operator="between">
      <formula>+TODAY()</formula>
      <formula>+HOY+10</formula>
    </cfRule>
  </conditionalFormatting>
  <conditionalFormatting sqref="L388">
    <cfRule type="cellIs" dxfId="138" priority="134" operator="between">
      <formula>+TODAY()</formula>
      <formula>+HOY+10</formula>
    </cfRule>
  </conditionalFormatting>
  <conditionalFormatting sqref="G389">
    <cfRule type="cellIs" dxfId="137" priority="132" operator="between">
      <formula>+TODAY()</formula>
      <formula>+HOY+10</formula>
    </cfRule>
  </conditionalFormatting>
  <conditionalFormatting sqref="L389">
    <cfRule type="cellIs" dxfId="136" priority="130" operator="between">
      <formula>+TODAY()</formula>
      <formula>+HOY+10</formula>
    </cfRule>
  </conditionalFormatting>
  <conditionalFormatting sqref="G390">
    <cfRule type="cellIs" dxfId="135" priority="126" operator="between">
      <formula>+TODAY()</formula>
      <formula>+HOY+10</formula>
    </cfRule>
  </conditionalFormatting>
  <conditionalFormatting sqref="L390">
    <cfRule type="cellIs" dxfId="134" priority="125" operator="between">
      <formula>+TODAY()</formula>
      <formula>+HOY+10</formula>
    </cfRule>
  </conditionalFormatting>
  <conditionalFormatting sqref="L391">
    <cfRule type="cellIs" dxfId="133" priority="123" operator="between">
      <formula>+TODAY()</formula>
      <formula>+HOY+10</formula>
    </cfRule>
  </conditionalFormatting>
  <conditionalFormatting sqref="G391">
    <cfRule type="cellIs" dxfId="132" priority="122" operator="between">
      <formula>+TODAY()</formula>
      <formula>+HOY+10</formula>
    </cfRule>
  </conditionalFormatting>
  <conditionalFormatting sqref="G392">
    <cfRule type="cellIs" dxfId="131" priority="120" operator="between">
      <formula>+TODAY()</formula>
      <formula>+HOY+10</formula>
    </cfRule>
  </conditionalFormatting>
  <conditionalFormatting sqref="L392">
    <cfRule type="cellIs" dxfId="130" priority="121" operator="between">
      <formula>+TODAY()</formula>
      <formula>+HOY+10</formula>
    </cfRule>
  </conditionalFormatting>
  <conditionalFormatting sqref="H393:H394">
    <cfRule type="cellIs" dxfId="129" priority="100" operator="between">
      <formula>+TODAY()</formula>
      <formula>+HOY+10</formula>
    </cfRule>
  </conditionalFormatting>
  <conditionalFormatting sqref="G393">
    <cfRule type="cellIs" dxfId="128" priority="117" operator="between">
      <formula>+TODAY()</formula>
      <formula>+HOY+10</formula>
    </cfRule>
  </conditionalFormatting>
  <conditionalFormatting sqref="L393">
    <cfRule type="cellIs" dxfId="127" priority="116" operator="between">
      <formula>+TODAY()</formula>
      <formula>+HOY+10</formula>
    </cfRule>
  </conditionalFormatting>
  <conditionalFormatting sqref="G394 L394">
    <cfRule type="cellIs" dxfId="126" priority="115" operator="between">
      <formula>+TODAY()</formula>
      <formula>+HOY+10</formula>
    </cfRule>
  </conditionalFormatting>
  <conditionalFormatting sqref="H393:H394">
    <cfRule type="cellIs" dxfId="125" priority="113" operator="between">
      <formula>+TODAY()</formula>
      <formula>+HOY+10</formula>
    </cfRule>
  </conditionalFormatting>
  <conditionalFormatting sqref="H393:H394">
    <cfRule type="cellIs" dxfId="124" priority="112" operator="between">
      <formula>+TODAY()</formula>
      <formula>+HOY+10</formula>
    </cfRule>
  </conditionalFormatting>
  <conditionalFormatting sqref="H393:H394">
    <cfRule type="cellIs" dxfId="123" priority="110" operator="between">
      <formula>+TODAY()</formula>
      <formula>+HOY+10</formula>
    </cfRule>
  </conditionalFormatting>
  <conditionalFormatting sqref="H393:H394">
    <cfRule type="cellIs" dxfId="122" priority="106" operator="between">
      <formula>+TODAY()</formula>
      <formula>+HOY+10</formula>
    </cfRule>
  </conditionalFormatting>
  <conditionalFormatting sqref="H393:H394">
    <cfRule type="cellIs" dxfId="121" priority="105" operator="between">
      <formula>+TODAY()</formula>
      <formula>+HOY+10</formula>
    </cfRule>
  </conditionalFormatting>
  <conditionalFormatting sqref="H393:H394">
    <cfRule type="cellIs" dxfId="120" priority="103" operator="between">
      <formula>+TODAY()</formula>
      <formula>+HOY+10</formula>
    </cfRule>
  </conditionalFormatting>
  <conditionalFormatting sqref="H393:H394">
    <cfRule type="cellIs" dxfId="119" priority="104" operator="between">
      <formula>+TODAY()</formula>
      <formula>+HOY+10</formula>
    </cfRule>
  </conditionalFormatting>
  <conditionalFormatting sqref="H393:H394">
    <cfRule type="cellIs" dxfId="118" priority="102" operator="between">
      <formula>+TODAY()</formula>
      <formula>+HOY+10</formula>
    </cfRule>
  </conditionalFormatting>
  <conditionalFormatting sqref="H393:H394">
    <cfRule type="cellIs" dxfId="117" priority="101" operator="between">
      <formula>+TODAY()</formula>
      <formula>+HOY+10</formula>
    </cfRule>
  </conditionalFormatting>
  <conditionalFormatting sqref="H393:H394">
    <cfRule type="cellIs" dxfId="116" priority="108" operator="between">
      <formula>+TODAY()</formula>
      <formula>+HOY+10</formula>
    </cfRule>
  </conditionalFormatting>
  <conditionalFormatting sqref="H393:H394">
    <cfRule type="cellIs" dxfId="115" priority="107" operator="between">
      <formula>+TODAY()</formula>
      <formula>+HOY+10</formula>
    </cfRule>
  </conditionalFormatting>
  <conditionalFormatting sqref="H393:H394">
    <cfRule type="cellIs" dxfId="114" priority="109" operator="between">
      <formula>+TODAY()</formula>
      <formula>+HOY+10</formula>
    </cfRule>
  </conditionalFormatting>
  <conditionalFormatting sqref="H393:H394">
    <cfRule type="cellIs" dxfId="113" priority="111" operator="between">
      <formula>+TODAY()</formula>
      <formula>+HOY+10</formula>
    </cfRule>
  </conditionalFormatting>
  <conditionalFormatting sqref="H393:H394">
    <cfRule type="cellIs" dxfId="112" priority="114" operator="between">
      <formula>+TODAY()</formula>
      <formula>+HOY+10</formula>
    </cfRule>
  </conditionalFormatting>
  <conditionalFormatting sqref="H395">
    <cfRule type="cellIs" dxfId="111" priority="84" operator="between">
      <formula>+TODAY()</formula>
      <formula>+HOY+10</formula>
    </cfRule>
  </conditionalFormatting>
  <conditionalFormatting sqref="L395">
    <cfRule type="cellIs" dxfId="110" priority="98" operator="between">
      <formula>+TODAY()</formula>
      <formula>+HOY+10</formula>
    </cfRule>
  </conditionalFormatting>
  <conditionalFormatting sqref="G395">
    <cfRule type="cellIs" dxfId="109" priority="97" operator="between">
      <formula>+TODAY()</formula>
      <formula>+HOY+10</formula>
    </cfRule>
  </conditionalFormatting>
  <conditionalFormatting sqref="H395">
    <cfRule type="cellIs" dxfId="108" priority="82" operator="between">
      <formula>+TODAY()</formula>
      <formula>+HOY+10</formula>
    </cfRule>
  </conditionalFormatting>
  <conditionalFormatting sqref="H395">
    <cfRule type="cellIs" dxfId="107" priority="95" operator="between">
      <formula>+TODAY()</formula>
      <formula>+HOY+10</formula>
    </cfRule>
  </conditionalFormatting>
  <conditionalFormatting sqref="H395">
    <cfRule type="cellIs" dxfId="106" priority="94" operator="between">
      <formula>+TODAY()</formula>
      <formula>+HOY+10</formula>
    </cfRule>
  </conditionalFormatting>
  <conditionalFormatting sqref="H395">
    <cfRule type="cellIs" dxfId="105" priority="92" operator="between">
      <formula>+TODAY()</formula>
      <formula>+HOY+10</formula>
    </cfRule>
  </conditionalFormatting>
  <conditionalFormatting sqref="H395">
    <cfRule type="cellIs" dxfId="104" priority="88" operator="between">
      <formula>+TODAY()</formula>
      <formula>+HOY+10</formula>
    </cfRule>
  </conditionalFormatting>
  <conditionalFormatting sqref="H395">
    <cfRule type="cellIs" dxfId="103" priority="87" operator="between">
      <formula>+TODAY()</formula>
      <formula>+HOY+10</formula>
    </cfRule>
  </conditionalFormatting>
  <conditionalFormatting sqref="H395">
    <cfRule type="cellIs" dxfId="102" priority="85" operator="between">
      <formula>+TODAY()</formula>
      <formula>+HOY+10</formula>
    </cfRule>
  </conditionalFormatting>
  <conditionalFormatting sqref="H395">
    <cfRule type="cellIs" dxfId="101" priority="86" operator="between">
      <formula>+TODAY()</formula>
      <formula>+HOY+10</formula>
    </cfRule>
  </conditionalFormatting>
  <conditionalFormatting sqref="H395">
    <cfRule type="cellIs" dxfId="100" priority="83" operator="between">
      <formula>+TODAY()</formula>
      <formula>+HOY+10</formula>
    </cfRule>
  </conditionalFormatting>
  <conditionalFormatting sqref="H395">
    <cfRule type="cellIs" dxfId="99" priority="90" operator="between">
      <formula>+TODAY()</formula>
      <formula>+HOY+10</formula>
    </cfRule>
  </conditionalFormatting>
  <conditionalFormatting sqref="H395">
    <cfRule type="cellIs" dxfId="98" priority="89" operator="between">
      <formula>+TODAY()</formula>
      <formula>+HOY+10</formula>
    </cfRule>
  </conditionalFormatting>
  <conditionalFormatting sqref="H395">
    <cfRule type="cellIs" dxfId="97" priority="91" operator="between">
      <formula>+TODAY()</formula>
      <formula>+HOY+10</formula>
    </cfRule>
  </conditionalFormatting>
  <conditionalFormatting sqref="H395">
    <cfRule type="cellIs" dxfId="96" priority="93" operator="between">
      <formula>+TODAY()</formula>
      <formula>+HOY+10</formula>
    </cfRule>
  </conditionalFormatting>
  <conditionalFormatting sqref="H395">
    <cfRule type="cellIs" dxfId="95" priority="96" operator="between">
      <formula>+TODAY()</formula>
      <formula>+HOY+10</formula>
    </cfRule>
  </conditionalFormatting>
  <conditionalFormatting sqref="H396">
    <cfRule type="cellIs" dxfId="94" priority="81" operator="between">
      <formula>+TODAY()</formula>
      <formula>+HOY+10</formula>
    </cfRule>
  </conditionalFormatting>
  <conditionalFormatting sqref="G396">
    <cfRule type="cellIs" dxfId="93" priority="80" operator="between">
      <formula>+TODAY()</formula>
      <formula>+HOY+10</formula>
    </cfRule>
  </conditionalFormatting>
  <conditionalFormatting sqref="L396">
    <cfRule type="cellIs" dxfId="92" priority="79" operator="between">
      <formula>+TODAY()</formula>
      <formula>+HOY+10</formula>
    </cfRule>
  </conditionalFormatting>
  <conditionalFormatting sqref="H397">
    <cfRule type="cellIs" dxfId="91" priority="78" operator="between">
      <formula>+TODAY()</formula>
      <formula>+HOY+10</formula>
    </cfRule>
  </conditionalFormatting>
  <conditionalFormatting sqref="G397">
    <cfRule type="cellIs" dxfId="90" priority="77" operator="between">
      <formula>+TODAY()</formula>
      <formula>+HOY+10</formula>
    </cfRule>
  </conditionalFormatting>
  <conditionalFormatting sqref="L397">
    <cfRule type="cellIs" dxfId="89" priority="76" operator="between">
      <formula>+TODAY()</formula>
      <formula>+HOY+10</formula>
    </cfRule>
  </conditionalFormatting>
  <conditionalFormatting sqref="H398">
    <cfRule type="cellIs" dxfId="88" priority="75" operator="between">
      <formula>+TODAY()</formula>
      <formula>+HOY+10</formula>
    </cfRule>
  </conditionalFormatting>
  <conditionalFormatting sqref="L398">
    <cfRule type="cellIs" dxfId="87" priority="73" operator="between">
      <formula>+TODAY()</formula>
      <formula>+HOY+10</formula>
    </cfRule>
  </conditionalFormatting>
  <conditionalFormatting sqref="G398">
    <cfRule type="cellIs" dxfId="86" priority="74" operator="between">
      <formula>+TODAY()</formula>
      <formula>+HOY+10</formula>
    </cfRule>
  </conditionalFormatting>
  <conditionalFormatting sqref="L399">
    <cfRule type="cellIs" dxfId="85" priority="72" operator="between">
      <formula>+TODAY()</formula>
      <formula>+HOY+10</formula>
    </cfRule>
  </conditionalFormatting>
  <conditionalFormatting sqref="H399">
    <cfRule type="cellIs" dxfId="84" priority="71" operator="between">
      <formula>+TODAY()</formula>
      <formula>+HOY+10</formula>
    </cfRule>
  </conditionalFormatting>
  <conditionalFormatting sqref="G399">
    <cfRule type="cellIs" dxfId="83" priority="70" operator="between">
      <formula>+TODAY()</formula>
      <formula>+HOY+10</formula>
    </cfRule>
  </conditionalFormatting>
  <conditionalFormatting sqref="H400">
    <cfRule type="cellIs" dxfId="82" priority="69" operator="between">
      <formula>+TODAY()</formula>
      <formula>+HOY+10</formula>
    </cfRule>
  </conditionalFormatting>
  <conditionalFormatting sqref="G400">
    <cfRule type="cellIs" dxfId="81" priority="68" operator="between">
      <formula>+TODAY()</formula>
      <formula>+HOY+10</formula>
    </cfRule>
  </conditionalFormatting>
  <conditionalFormatting sqref="L400">
    <cfRule type="cellIs" dxfId="80" priority="67" operator="between">
      <formula>+TODAY()</formula>
      <formula>+HOY+10</formula>
    </cfRule>
  </conditionalFormatting>
  <conditionalFormatting sqref="G401">
    <cfRule type="cellIs" dxfId="79" priority="66" operator="between">
      <formula>+TODAY()</formula>
      <formula>+HOY+10</formula>
    </cfRule>
  </conditionalFormatting>
  <conditionalFormatting sqref="H401">
    <cfRule type="cellIs" dxfId="78" priority="65" operator="between">
      <formula>+TODAY()</formula>
      <formula>+HOY+10</formula>
    </cfRule>
  </conditionalFormatting>
  <conditionalFormatting sqref="L401">
    <cfRule type="cellIs" dxfId="77" priority="64" operator="between">
      <formula>+TODAY()</formula>
      <formula>+HOY+10</formula>
    </cfRule>
  </conditionalFormatting>
  <conditionalFormatting sqref="H402">
    <cfRule type="cellIs" dxfId="76" priority="63" operator="between">
      <formula>+TODAY()</formula>
      <formula>+HOY+10</formula>
    </cfRule>
  </conditionalFormatting>
  <conditionalFormatting sqref="G402">
    <cfRule type="cellIs" dxfId="75" priority="62" operator="between">
      <formula>+TODAY()</formula>
      <formula>+HOY+10</formula>
    </cfRule>
  </conditionalFormatting>
  <conditionalFormatting sqref="L402">
    <cfRule type="cellIs" dxfId="74" priority="61" operator="between">
      <formula>+TODAY()</formula>
      <formula>+HOY+10</formula>
    </cfRule>
  </conditionalFormatting>
  <conditionalFormatting sqref="H403">
    <cfRule type="cellIs" dxfId="73" priority="60" operator="between">
      <formula>+TODAY()</formula>
      <formula>+HOY+10</formula>
    </cfRule>
  </conditionalFormatting>
  <conditionalFormatting sqref="G403">
    <cfRule type="cellIs" dxfId="72" priority="59" operator="between">
      <formula>+TODAY()</formula>
      <formula>+HOY+10</formula>
    </cfRule>
  </conditionalFormatting>
  <conditionalFormatting sqref="L403">
    <cfRule type="cellIs" dxfId="71" priority="58" operator="between">
      <formula>+TODAY()</formula>
      <formula>+HOY+10</formula>
    </cfRule>
  </conditionalFormatting>
  <conditionalFormatting sqref="H404">
    <cfRule type="cellIs" dxfId="70" priority="57" operator="between">
      <formula>+TODAY()</formula>
      <formula>+HOY+10</formula>
    </cfRule>
  </conditionalFormatting>
  <conditionalFormatting sqref="L404">
    <cfRule type="cellIs" dxfId="69" priority="55" operator="between">
      <formula>+TODAY()</formula>
      <formula>+HOY+10</formula>
    </cfRule>
  </conditionalFormatting>
  <conditionalFormatting sqref="G404">
    <cfRule type="cellIs" dxfId="68" priority="56" operator="between">
      <formula>+TODAY()</formula>
      <formula>+HOY+10</formula>
    </cfRule>
  </conditionalFormatting>
  <conditionalFormatting sqref="H405">
    <cfRule type="cellIs" dxfId="67" priority="53" operator="between">
      <formula>+TODAY()</formula>
      <formula>+HOY+10</formula>
    </cfRule>
  </conditionalFormatting>
  <conditionalFormatting sqref="L405">
    <cfRule type="cellIs" dxfId="66" priority="51" operator="between">
      <formula>+TODAY()</formula>
      <formula>+HOY+10</formula>
    </cfRule>
  </conditionalFormatting>
  <conditionalFormatting sqref="G405">
    <cfRule type="cellIs" dxfId="65" priority="52" operator="between">
      <formula>+TODAY()</formula>
      <formula>+HOY+10</formula>
    </cfRule>
  </conditionalFormatting>
  <conditionalFormatting sqref="H406:H407">
    <cfRule type="cellIs" dxfId="64" priority="50" operator="between">
      <formula>+TODAY()</formula>
      <formula>+HOY+10</formula>
    </cfRule>
  </conditionalFormatting>
  <conditionalFormatting sqref="G406:G407">
    <cfRule type="cellIs" dxfId="63" priority="49" operator="between">
      <formula>+TODAY()</formula>
      <formula>+HOY+10</formula>
    </cfRule>
  </conditionalFormatting>
  <conditionalFormatting sqref="L406">
    <cfRule type="cellIs" dxfId="62" priority="48" operator="between">
      <formula>+TODAY()</formula>
      <formula>+HOY+10</formula>
    </cfRule>
  </conditionalFormatting>
  <conditionalFormatting sqref="L407">
    <cfRule type="cellIs" dxfId="61" priority="47" operator="between">
      <formula>+TODAY()</formula>
      <formula>+HOY+10</formula>
    </cfRule>
  </conditionalFormatting>
  <conditionalFormatting sqref="H408">
    <cfRule type="cellIs" dxfId="60" priority="46" operator="between">
      <formula>+TODAY()</formula>
      <formula>+HOY+10</formula>
    </cfRule>
  </conditionalFormatting>
  <conditionalFormatting sqref="G408">
    <cfRule type="cellIs" dxfId="59" priority="45" operator="between">
      <formula>+TODAY()</formula>
      <formula>+HOY+10</formula>
    </cfRule>
  </conditionalFormatting>
  <conditionalFormatting sqref="L408">
    <cfRule type="cellIs" dxfId="58" priority="44" operator="between">
      <formula>+TODAY()</formula>
      <formula>+HOY+10</formula>
    </cfRule>
  </conditionalFormatting>
  <conditionalFormatting sqref="H409">
    <cfRule type="cellIs" dxfId="57" priority="43" operator="between">
      <formula>+TODAY()</formula>
      <formula>+HOY+10</formula>
    </cfRule>
  </conditionalFormatting>
  <conditionalFormatting sqref="G409">
    <cfRule type="cellIs" dxfId="56" priority="42" operator="between">
      <formula>+TODAY()</formula>
      <formula>+HOY+10</formula>
    </cfRule>
  </conditionalFormatting>
  <conditionalFormatting sqref="L409">
    <cfRule type="cellIs" dxfId="55" priority="41" operator="between">
      <formula>+TODAY()</formula>
      <formula>+HOY+10</formula>
    </cfRule>
  </conditionalFormatting>
  <conditionalFormatting sqref="G410">
    <cfRule type="cellIs" dxfId="54" priority="39" operator="between">
      <formula>+TODAY()</formula>
      <formula>+HOY+10</formula>
    </cfRule>
  </conditionalFormatting>
  <conditionalFormatting sqref="G411:G413">
    <cfRule type="cellIs" dxfId="53" priority="34" operator="between">
      <formula>+TODAY()</formula>
      <formula>+HOY+10</formula>
    </cfRule>
  </conditionalFormatting>
  <conditionalFormatting sqref="L410">
    <cfRule type="cellIs" dxfId="52" priority="38" operator="between">
      <formula>+TODAY()</formula>
      <formula>+HOY+10</formula>
    </cfRule>
  </conditionalFormatting>
  <conditionalFormatting sqref="L411">
    <cfRule type="cellIs" dxfId="51" priority="33" operator="between">
      <formula>+TODAY()</formula>
      <formula>+HOY+10</formula>
    </cfRule>
  </conditionalFormatting>
  <conditionalFormatting sqref="H410">
    <cfRule type="cellIs" dxfId="50" priority="36" operator="between">
      <formula>+TODAY()</formula>
      <formula>+HOY+10</formula>
    </cfRule>
  </conditionalFormatting>
  <conditionalFormatting sqref="H411">
    <cfRule type="cellIs" dxfId="49" priority="31" operator="between">
      <formula>+TODAY()</formula>
      <formula>+HOY+10</formula>
    </cfRule>
  </conditionalFormatting>
  <conditionalFormatting sqref="L412:L413">
    <cfRule type="cellIs" dxfId="48" priority="32" operator="between">
      <formula>+TODAY()</formula>
      <formula>+HOY+10</formula>
    </cfRule>
  </conditionalFormatting>
  <conditionalFormatting sqref="H412">
    <cfRule type="cellIs" dxfId="47" priority="30" operator="between">
      <formula>+TODAY()</formula>
      <formula>+HOY+10</formula>
    </cfRule>
  </conditionalFormatting>
  <conditionalFormatting sqref="H413">
    <cfRule type="cellIs" dxfId="46" priority="29" operator="between">
      <formula>+TODAY()</formula>
      <formula>+HOY+10</formula>
    </cfRule>
  </conditionalFormatting>
  <conditionalFormatting sqref="G414">
    <cfRule type="cellIs" dxfId="45" priority="27" operator="between">
      <formula>+TODAY()</formula>
      <formula>+HOY+10</formula>
    </cfRule>
  </conditionalFormatting>
  <conditionalFormatting sqref="L414">
    <cfRule type="cellIs" dxfId="44" priority="26" operator="between">
      <formula>+TODAY()</formula>
      <formula>+HOY+10</formula>
    </cfRule>
  </conditionalFormatting>
  <conditionalFormatting sqref="H414:H415">
    <cfRule type="cellIs" dxfId="43" priority="25" operator="between">
      <formula>+TODAY()</formula>
      <formula>+HOY+10</formula>
    </cfRule>
  </conditionalFormatting>
  <conditionalFormatting sqref="G415">
    <cfRule type="cellIs" dxfId="42" priority="24" operator="between">
      <formula>+TODAY()</formula>
      <formula>+HOY+10</formula>
    </cfRule>
  </conditionalFormatting>
  <conditionalFormatting sqref="L415">
    <cfRule type="cellIs" dxfId="41" priority="23" operator="between">
      <formula>+TODAY()</formula>
      <formula>+HOY+10</formula>
    </cfRule>
  </conditionalFormatting>
  <conditionalFormatting sqref="M415">
    <cfRule type="cellIs" dxfId="40" priority="22" operator="between">
      <formula>+TODAY()</formula>
      <formula>+HOY+10</formula>
    </cfRule>
  </conditionalFormatting>
  <conditionalFormatting sqref="H416">
    <cfRule type="cellIs" dxfId="39" priority="21" operator="between">
      <formula>+TODAY()</formula>
      <formula>+HOY+10</formula>
    </cfRule>
  </conditionalFormatting>
  <conditionalFormatting sqref="L416">
    <cfRule type="cellIs" dxfId="38" priority="20" operator="between">
      <formula>+TODAY()</formula>
      <formula>+HOY+10</formula>
    </cfRule>
  </conditionalFormatting>
  <conditionalFormatting sqref="G416">
    <cfRule type="cellIs" dxfId="37" priority="19" operator="between">
      <formula>+TODAY()</formula>
      <formula>+HOY+10</formula>
    </cfRule>
  </conditionalFormatting>
  <conditionalFormatting sqref="M416">
    <cfRule type="cellIs" dxfId="36" priority="18" operator="between">
      <formula>+TODAY()</formula>
      <formula>+HOY+10</formula>
    </cfRule>
  </conditionalFormatting>
  <conditionalFormatting sqref="H417:H418">
    <cfRule type="cellIs" dxfId="35" priority="17" operator="between">
      <formula>+TODAY()</formula>
      <formula>+HOY+10</formula>
    </cfRule>
  </conditionalFormatting>
  <conditionalFormatting sqref="G417">
    <cfRule type="cellIs" dxfId="34" priority="16" operator="between">
      <formula>+TODAY()</formula>
      <formula>+HOY+10</formula>
    </cfRule>
  </conditionalFormatting>
  <conditionalFormatting sqref="L417">
    <cfRule type="cellIs" dxfId="33" priority="15" operator="between">
      <formula>+TODAY()</formula>
      <formula>+HOY+10</formula>
    </cfRule>
  </conditionalFormatting>
  <conditionalFormatting sqref="G418">
    <cfRule type="cellIs" dxfId="32" priority="14" operator="between">
      <formula>+TODAY()</formula>
      <formula>+HOY+10</formula>
    </cfRule>
  </conditionalFormatting>
  <conditionalFormatting sqref="L418">
    <cfRule type="cellIs" dxfId="31" priority="13" operator="between">
      <formula>+TODAY()</formula>
      <formula>+HOY+10</formula>
    </cfRule>
  </conditionalFormatting>
  <conditionalFormatting sqref="M417">
    <cfRule type="cellIs" dxfId="30" priority="12" operator="between">
      <formula>+TODAY()</formula>
      <formula>+HOY+10</formula>
    </cfRule>
  </conditionalFormatting>
  <conditionalFormatting sqref="M418">
    <cfRule type="cellIs" dxfId="29" priority="11" operator="between">
      <formula>+TODAY()</formula>
      <formula>+HOY+10</formula>
    </cfRule>
  </conditionalFormatting>
  <conditionalFormatting sqref="G419:G421">
    <cfRule type="cellIs" dxfId="28" priority="9" operator="between">
      <formula>+TODAY()</formula>
      <formula>+HOY+10</formula>
    </cfRule>
  </conditionalFormatting>
  <conditionalFormatting sqref="H419:H421">
    <cfRule type="cellIs" dxfId="27" priority="10" operator="between">
      <formula>+TODAY()</formula>
      <formula>+HOY+10</formula>
    </cfRule>
  </conditionalFormatting>
  <conditionalFormatting sqref="L419">
    <cfRule type="cellIs" dxfId="26" priority="8" operator="between">
      <formula>+TODAY()</formula>
      <formula>+HOY+10</formula>
    </cfRule>
  </conditionalFormatting>
  <conditionalFormatting sqref="L420:L421">
    <cfRule type="cellIs" dxfId="25" priority="7" operator="between">
      <formula>+TODAY()</formula>
      <formula>+HOY+10</formula>
    </cfRule>
  </conditionalFormatting>
  <conditionalFormatting sqref="M419">
    <cfRule type="cellIs" dxfId="24" priority="6" operator="between">
      <formula>+TODAY()</formula>
      <formula>+HOY+10</formula>
    </cfRule>
  </conditionalFormatting>
  <conditionalFormatting sqref="M420:M421">
    <cfRule type="cellIs" dxfId="23" priority="5" operator="between">
      <formula>+TODAY()</formula>
      <formula>+HOY+10</formula>
    </cfRule>
  </conditionalFormatting>
  <conditionalFormatting sqref="H422">
    <cfRule type="cellIs" dxfId="22" priority="4" operator="between">
      <formula>+TODAY()</formula>
      <formula>+HOY+10</formula>
    </cfRule>
  </conditionalFormatting>
  <conditionalFormatting sqref="G422">
    <cfRule type="cellIs" dxfId="21" priority="3" operator="between">
      <formula>+TODAY()</formula>
      <formula>+HOY+10</formula>
    </cfRule>
  </conditionalFormatting>
  <conditionalFormatting sqref="L422">
    <cfRule type="cellIs" dxfId="20" priority="2" operator="between">
      <formula>+TODAY()</formula>
      <formula>+HOY+10</formula>
    </cfRule>
  </conditionalFormatting>
  <conditionalFormatting sqref="M422">
    <cfRule type="cellIs" dxfId="19" priority="1" operator="between">
      <formula>+TODAY()</formula>
      <formula>+HOY+10</formula>
    </cfRule>
  </conditionalFormatting>
  <dataValidations count="4">
    <dataValidation type="list" allowBlank="1" showInputMessage="1" showErrorMessage="1" sqref="B31:B32">
      <formula1>$C$1:$C$14</formula1>
    </dataValidation>
    <dataValidation type="list" allowBlank="1" showInputMessage="1" showErrorMessage="1" sqref="B223:B224 B227:B228 B240 B289:B291 B303:B304 B345:B347 B349 B357 B377:B382 B385:B387 B392 B389 B397 B399 B401 B416 B418 B422">
      <formula1>MATERIALES</formula1>
    </dataValidation>
    <dataValidation type="list" allowBlank="1" showInputMessage="1" showErrorMessage="1" sqref="B8">
      <formula1>$C$1:$C$64</formula1>
    </dataValidation>
    <dataValidation type="list" allowBlank="1" showInputMessage="1" showErrorMessage="1" sqref="B12">
      <formula1>$C$1:$C$51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[2]BDD!#REF!</xm:f>
          </x14:formula1>
          <xm:sqref>B22</xm:sqref>
        </x14:dataValidation>
        <x14:dataValidation type="list" allowBlank="1" showInputMessage="1" showErrorMessage="1">
          <x14:formula1>
            <xm:f>[3]BDD!#REF!</xm:f>
          </x14:formula1>
          <xm:sqref>B367:B369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B3" sqref="B3:B4"/>
    </sheetView>
  </sheetViews>
  <sheetFormatPr baseColWidth="10" defaultRowHeight="14.4" x14ac:dyDescent="0.3"/>
  <cols>
    <col min="1" max="4" width="11.5546875" customWidth="1"/>
  </cols>
  <sheetData>
    <row r="1" spans="1:4" ht="15.6" x14ac:dyDescent="0.3">
      <c r="A1" s="562" t="s">
        <v>1536</v>
      </c>
      <c r="B1" s="562"/>
      <c r="C1" s="562"/>
      <c r="D1" s="562"/>
    </row>
    <row r="2" spans="1:4" s="250" customFormat="1" ht="15.6" x14ac:dyDescent="0.3">
      <c r="A2" s="274" t="s">
        <v>1537</v>
      </c>
      <c r="B2" s="274" t="s">
        <v>1540</v>
      </c>
      <c r="C2" s="274" t="s">
        <v>1538</v>
      </c>
      <c r="D2" s="274" t="s">
        <v>1539</v>
      </c>
    </row>
    <row r="3" spans="1:4" ht="15" customHeight="1" x14ac:dyDescent="0.25">
      <c r="A3" s="272" t="s">
        <v>50</v>
      </c>
      <c r="B3" s="273">
        <v>6000000</v>
      </c>
      <c r="C3" s="275" t="s">
        <v>31</v>
      </c>
      <c r="D3" s="275">
        <v>2022</v>
      </c>
    </row>
    <row r="4" spans="1:4" ht="15" customHeight="1" x14ac:dyDescent="0.25">
      <c r="A4" s="272" t="s">
        <v>277</v>
      </c>
      <c r="B4" s="273">
        <v>5000000</v>
      </c>
      <c r="C4" s="275" t="s">
        <v>40</v>
      </c>
      <c r="D4" s="275">
        <v>2022</v>
      </c>
    </row>
    <row r="5" spans="1:4" ht="15" customHeight="1" x14ac:dyDescent="0.25">
      <c r="A5" s="272" t="s">
        <v>27</v>
      </c>
      <c r="B5" s="273">
        <v>5000000</v>
      </c>
      <c r="C5" s="275" t="s">
        <v>1535</v>
      </c>
      <c r="D5" s="275">
        <v>2021</v>
      </c>
    </row>
    <row r="10" spans="1:4" ht="15" x14ac:dyDescent="0.25">
      <c r="A10" t="s">
        <v>512</v>
      </c>
      <c r="B10" s="273">
        <v>3500000</v>
      </c>
    </row>
  </sheetData>
  <mergeCells count="1">
    <mergeCell ref="A1:D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311"/>
  <sheetViews>
    <sheetView zoomScale="115" zoomScaleNormal="11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305" sqref="P305"/>
    </sheetView>
  </sheetViews>
  <sheetFormatPr baseColWidth="10" defaultColWidth="11.44140625" defaultRowHeight="14.4" x14ac:dyDescent="0.3"/>
  <cols>
    <col min="1" max="1" width="11.44140625" style="376"/>
    <col min="2" max="2" width="11.44140625" style="376" customWidth="1"/>
    <col min="3" max="3" width="30" style="376" customWidth="1"/>
    <col min="4" max="4" width="28.88671875" style="376" customWidth="1"/>
    <col min="5" max="5" width="10.44140625" style="376" customWidth="1"/>
    <col min="6" max="6" width="8.44140625" style="376" customWidth="1"/>
    <col min="7" max="7" width="21.5546875" style="411" customWidth="1"/>
    <col min="8" max="8" width="8.5546875" style="376" customWidth="1"/>
    <col min="9" max="9" width="9.5546875" style="376" customWidth="1"/>
    <col min="10" max="10" width="8.5546875" style="376" customWidth="1"/>
    <col min="11" max="11" width="13" style="376" customWidth="1"/>
    <col min="12" max="12" width="9.44140625" style="376" customWidth="1"/>
    <col min="13" max="13" width="13" style="376" customWidth="1"/>
    <col min="14" max="14" width="9" style="376" customWidth="1"/>
    <col min="15" max="15" width="10" style="376" customWidth="1"/>
    <col min="16" max="19" width="11.5546875" style="376" customWidth="1"/>
    <col min="20" max="16384" width="11.44140625" style="376"/>
  </cols>
  <sheetData>
    <row r="1" spans="1:20" ht="30" customHeight="1" x14ac:dyDescent="0.3">
      <c r="A1" s="388" t="s">
        <v>3014</v>
      </c>
      <c r="B1" s="388" t="s">
        <v>3692</v>
      </c>
      <c r="C1" s="388" t="s">
        <v>1</v>
      </c>
      <c r="D1" s="388" t="s">
        <v>2</v>
      </c>
      <c r="E1" s="389" t="s">
        <v>3015</v>
      </c>
      <c r="F1" s="388" t="s">
        <v>3016</v>
      </c>
      <c r="G1" s="388" t="s">
        <v>3017</v>
      </c>
      <c r="H1" s="388" t="s">
        <v>826</v>
      </c>
      <c r="I1" s="390" t="s">
        <v>3018</v>
      </c>
      <c r="J1" s="390" t="s">
        <v>23</v>
      </c>
      <c r="K1" s="390" t="s">
        <v>3019</v>
      </c>
      <c r="L1" s="390" t="s">
        <v>3020</v>
      </c>
      <c r="M1" s="390" t="s">
        <v>3021</v>
      </c>
      <c r="N1" s="390" t="s">
        <v>3022</v>
      </c>
      <c r="O1" s="390" t="s">
        <v>3023</v>
      </c>
      <c r="P1" s="390" t="s">
        <v>3024</v>
      </c>
      <c r="Q1" s="390" t="s">
        <v>3689</v>
      </c>
      <c r="R1" s="390" t="s">
        <v>3690</v>
      </c>
      <c r="S1" s="390" t="s">
        <v>3691</v>
      </c>
      <c r="T1" s="390" t="s">
        <v>3025</v>
      </c>
    </row>
    <row r="2" spans="1:20" ht="15" hidden="1" x14ac:dyDescent="0.25">
      <c r="A2" s="391" t="s">
        <v>966</v>
      </c>
      <c r="B2" s="391"/>
      <c r="C2" s="392" t="s">
        <v>28</v>
      </c>
      <c r="D2" s="393" t="s">
        <v>17</v>
      </c>
      <c r="E2" s="394" t="s">
        <v>827</v>
      </c>
      <c r="F2" s="408">
        <f>+IFERROR(INDEX([4]IMPORTS!$Y:$Y,MATCH($A2,[4]IMPORTS!$C:$C,0)),"")</f>
        <v>43488</v>
      </c>
      <c r="G2" s="408">
        <f t="shared" ref="G2:G65" si="0">+F2-2</f>
        <v>43486</v>
      </c>
      <c r="H2" s="402">
        <f>+IFERROR(INDEX([4]IMPORTS!$P:$P,MATCH($A2,[4]IMPORTS!$C:$C,0)),"")</f>
        <v>504</v>
      </c>
      <c r="I2" s="408" t="str">
        <f>+IFERROR(INDEX([4]IMPORTS!$R:$R,MATCH($A2,[4]IMPORTS!$C:$C,0)),"")</f>
        <v>CIF</v>
      </c>
      <c r="J2" s="409">
        <f>+IFERROR(INDEX([4]IMPORTS!$S:$S,MATCH($A2,[4]IMPORTS!$C:$C,0)),"")</f>
        <v>260</v>
      </c>
      <c r="K2" s="403">
        <f t="shared" ref="K2:K65" si="1">+H2*J2</f>
        <v>131040</v>
      </c>
      <c r="L2" s="395">
        <f>+K2*0.11%</f>
        <v>144.14400000000001</v>
      </c>
      <c r="M2" s="395">
        <f>+K2+L2</f>
        <v>131184.144</v>
      </c>
      <c r="N2" s="396">
        <f>ROUND(M2*2%,0)</f>
        <v>2624</v>
      </c>
      <c r="O2" s="396">
        <f>ROUND(M2*16%,0)</f>
        <v>20989</v>
      </c>
      <c r="P2" s="396">
        <f>ROUND((M2+N2+O2)*3.5%,0)</f>
        <v>5418</v>
      </c>
      <c r="Q2" s="463">
        <f t="shared" ref="Q2:Q65" si="2">N2+O2+P2</f>
        <v>29031</v>
      </c>
      <c r="R2" s="463">
        <v>-278</v>
      </c>
      <c r="S2" s="463">
        <f t="shared" ref="S2:S65" si="3">Q2*R2</f>
        <v>-8070618</v>
      </c>
      <c r="T2" s="397" t="s">
        <v>256</v>
      </c>
    </row>
    <row r="3" spans="1:20" ht="15" hidden="1" x14ac:dyDescent="0.25">
      <c r="A3" s="398" t="s">
        <v>973</v>
      </c>
      <c r="B3" s="398"/>
      <c r="C3" s="399" t="s">
        <v>360</v>
      </c>
      <c r="D3" s="400" t="s">
        <v>361</v>
      </c>
      <c r="E3" s="401" t="s">
        <v>828</v>
      </c>
      <c r="F3" s="408">
        <f>+IFERROR(INDEX([4]IMPORTS!$Y:$Y,MATCH($A3,[4]IMPORTS!$C:$C,0)),"")</f>
        <v>43469</v>
      </c>
      <c r="G3" s="408">
        <f t="shared" si="0"/>
        <v>43467</v>
      </c>
      <c r="H3" s="402">
        <f>+IFERROR(INDEX([4]IMPORTS!$P:$P,MATCH($A3,[4]IMPORTS!$C:$C,0)),"")</f>
        <v>49</v>
      </c>
      <c r="I3" s="408" t="str">
        <f>+IFERROR(INDEX([4]IMPORTS!$R:$R,MATCH($A3,[4]IMPORTS!$C:$C,0)),"")</f>
        <v>CIF</v>
      </c>
      <c r="J3" s="409">
        <f>+IFERROR(INDEX([4]IMPORTS!$S:$S,MATCH($A3,[4]IMPORTS!$C:$C,0)),"")</f>
        <v>1290</v>
      </c>
      <c r="K3" s="403">
        <f t="shared" si="1"/>
        <v>63210</v>
      </c>
      <c r="L3" s="403">
        <f t="shared" ref="L3:L48" si="4">+K3*0.11%</f>
        <v>69.531000000000006</v>
      </c>
      <c r="M3" s="403">
        <f t="shared" ref="M3:M48" si="5">+K3+L3</f>
        <v>63279.531000000003</v>
      </c>
      <c r="N3" s="404">
        <f t="shared" ref="N3:N48" si="6">ROUND(M3*2%,0)</f>
        <v>1266</v>
      </c>
      <c r="O3" s="404">
        <f t="shared" ref="O3:O48" si="7">ROUND(M3*16%,0)</f>
        <v>10125</v>
      </c>
      <c r="P3" s="404">
        <f t="shared" ref="P3:P48" si="8">ROUND((M3+N3+O3)*3.5%,0)</f>
        <v>2613</v>
      </c>
      <c r="Q3" s="463">
        <f t="shared" si="2"/>
        <v>14004</v>
      </c>
      <c r="R3" s="463">
        <v>-277</v>
      </c>
      <c r="S3" s="463">
        <f t="shared" si="3"/>
        <v>-3879108</v>
      </c>
      <c r="T3" s="397" t="s">
        <v>256</v>
      </c>
    </row>
    <row r="4" spans="1:20" ht="15" hidden="1" x14ac:dyDescent="0.25">
      <c r="A4" s="398" t="s">
        <v>974</v>
      </c>
      <c r="B4" s="398"/>
      <c r="C4" s="399" t="s">
        <v>360</v>
      </c>
      <c r="D4" s="400" t="s">
        <v>361</v>
      </c>
      <c r="E4" s="401" t="s">
        <v>828</v>
      </c>
      <c r="F4" s="408">
        <f>+IFERROR(INDEX([4]IMPORTS!$Y:$Y,MATCH($A4,[4]IMPORTS!$C:$C,0)),"")</f>
        <v>43490</v>
      </c>
      <c r="G4" s="408">
        <f t="shared" si="0"/>
        <v>43488</v>
      </c>
      <c r="H4" s="402">
        <f>+IFERROR(INDEX([4]IMPORTS!$P:$P,MATCH($A4,[4]IMPORTS!$C:$C,0)),"")</f>
        <v>49</v>
      </c>
      <c r="I4" s="408" t="str">
        <f>+IFERROR(INDEX([4]IMPORTS!$R:$R,MATCH($A4,[4]IMPORTS!$C:$C,0)),"")</f>
        <v>CIF</v>
      </c>
      <c r="J4" s="409">
        <f>+IFERROR(INDEX([4]IMPORTS!$S:$S,MATCH($A4,[4]IMPORTS!$C:$C,0)),"")</f>
        <v>1290</v>
      </c>
      <c r="K4" s="403">
        <f t="shared" si="1"/>
        <v>63210</v>
      </c>
      <c r="L4" s="403">
        <f t="shared" si="4"/>
        <v>69.531000000000006</v>
      </c>
      <c r="M4" s="403">
        <f t="shared" si="5"/>
        <v>63279.531000000003</v>
      </c>
      <c r="N4" s="404">
        <f t="shared" si="6"/>
        <v>1266</v>
      </c>
      <c r="O4" s="404">
        <f t="shared" si="7"/>
        <v>10125</v>
      </c>
      <c r="P4" s="404">
        <f t="shared" si="8"/>
        <v>2613</v>
      </c>
      <c r="Q4" s="463">
        <f t="shared" si="2"/>
        <v>14004</v>
      </c>
      <c r="R4" s="463">
        <v>-276</v>
      </c>
      <c r="S4" s="463">
        <f t="shared" si="3"/>
        <v>-3865104</v>
      </c>
      <c r="T4" s="397" t="s">
        <v>256</v>
      </c>
    </row>
    <row r="5" spans="1:20" ht="15" hidden="1" x14ac:dyDescent="0.25">
      <c r="A5" s="398" t="s">
        <v>975</v>
      </c>
      <c r="B5" s="398"/>
      <c r="C5" s="399" t="s">
        <v>360</v>
      </c>
      <c r="D5" s="400" t="s">
        <v>361</v>
      </c>
      <c r="E5" s="401" t="s">
        <v>828</v>
      </c>
      <c r="F5" s="408">
        <f>+IFERROR(INDEX([4]IMPORTS!$Y:$Y,MATCH($A5,[4]IMPORTS!$C:$C,0)),"")</f>
        <v>43504</v>
      </c>
      <c r="G5" s="408">
        <f t="shared" si="0"/>
        <v>43502</v>
      </c>
      <c r="H5" s="402">
        <f>+IFERROR(INDEX([4]IMPORTS!$P:$P,MATCH($A5,[4]IMPORTS!$C:$C,0)),"")</f>
        <v>49</v>
      </c>
      <c r="I5" s="408" t="str">
        <f>+IFERROR(INDEX([4]IMPORTS!$R:$R,MATCH($A5,[4]IMPORTS!$C:$C,0)),"")</f>
        <v>CIF</v>
      </c>
      <c r="J5" s="409">
        <f>+IFERROR(INDEX([4]IMPORTS!$S:$S,MATCH($A5,[4]IMPORTS!$C:$C,0)),"")</f>
        <v>1290</v>
      </c>
      <c r="K5" s="403">
        <f t="shared" si="1"/>
        <v>63210</v>
      </c>
      <c r="L5" s="403">
        <f t="shared" si="4"/>
        <v>69.531000000000006</v>
      </c>
      <c r="M5" s="403">
        <f t="shared" si="5"/>
        <v>63279.531000000003</v>
      </c>
      <c r="N5" s="404">
        <f t="shared" si="6"/>
        <v>1266</v>
      </c>
      <c r="O5" s="404">
        <f t="shared" si="7"/>
        <v>10125</v>
      </c>
      <c r="P5" s="404">
        <f t="shared" si="8"/>
        <v>2613</v>
      </c>
      <c r="Q5" s="463">
        <f t="shared" si="2"/>
        <v>14004</v>
      </c>
      <c r="R5" s="463">
        <v>-275</v>
      </c>
      <c r="S5" s="463">
        <f t="shared" si="3"/>
        <v>-3851100</v>
      </c>
      <c r="T5" s="397" t="s">
        <v>256</v>
      </c>
    </row>
    <row r="6" spans="1:20" ht="15" hidden="1" x14ac:dyDescent="0.25">
      <c r="A6" s="398" t="s">
        <v>976</v>
      </c>
      <c r="B6" s="398"/>
      <c r="C6" s="399" t="s">
        <v>360</v>
      </c>
      <c r="D6" s="400" t="s">
        <v>361</v>
      </c>
      <c r="E6" s="401" t="s">
        <v>828</v>
      </c>
      <c r="F6" s="408">
        <f>+IFERROR(INDEX([4]IMPORTS!$Y:$Y,MATCH($A6,[4]IMPORTS!$C:$C,0)),"")</f>
        <v>43513</v>
      </c>
      <c r="G6" s="408">
        <f t="shared" si="0"/>
        <v>43511</v>
      </c>
      <c r="H6" s="402">
        <f>+IFERROR(INDEX([4]IMPORTS!$P:$P,MATCH($A6,[4]IMPORTS!$C:$C,0)),"")</f>
        <v>49</v>
      </c>
      <c r="I6" s="408" t="str">
        <f>+IFERROR(INDEX([4]IMPORTS!$R:$R,MATCH($A6,[4]IMPORTS!$C:$C,0)),"")</f>
        <v>CIF</v>
      </c>
      <c r="J6" s="409">
        <f>+IFERROR(INDEX([4]IMPORTS!$S:$S,MATCH($A6,[4]IMPORTS!$C:$C,0)),"")</f>
        <v>1290</v>
      </c>
      <c r="K6" s="403">
        <f t="shared" si="1"/>
        <v>63210</v>
      </c>
      <c r="L6" s="403">
        <f t="shared" si="4"/>
        <v>69.531000000000006</v>
      </c>
      <c r="M6" s="403">
        <f t="shared" si="5"/>
        <v>63279.531000000003</v>
      </c>
      <c r="N6" s="404">
        <f t="shared" si="6"/>
        <v>1266</v>
      </c>
      <c r="O6" s="404">
        <f t="shared" si="7"/>
        <v>10125</v>
      </c>
      <c r="P6" s="404">
        <f t="shared" si="8"/>
        <v>2613</v>
      </c>
      <c r="Q6" s="463">
        <f t="shared" si="2"/>
        <v>14004</v>
      </c>
      <c r="R6" s="463">
        <v>-274</v>
      </c>
      <c r="S6" s="463">
        <f t="shared" si="3"/>
        <v>-3837096</v>
      </c>
      <c r="T6" s="397" t="s">
        <v>256</v>
      </c>
    </row>
    <row r="7" spans="1:20" ht="15" hidden="1" x14ac:dyDescent="0.25">
      <c r="A7" s="398" t="s">
        <v>891</v>
      </c>
      <c r="B7" s="398"/>
      <c r="C7" s="399" t="s">
        <v>993</v>
      </c>
      <c r="D7" s="400" t="s">
        <v>890</v>
      </c>
      <c r="E7" s="401" t="s">
        <v>828</v>
      </c>
      <c r="F7" s="408">
        <f>+IFERROR(INDEX([4]IMPORTS!$Y:$Y,MATCH($A7,[4]IMPORTS!$C:$C,0)),"")</f>
        <v>43470</v>
      </c>
      <c r="G7" s="408">
        <f t="shared" si="0"/>
        <v>43468</v>
      </c>
      <c r="H7" s="402">
        <f>+IFERROR(INDEX([4]IMPORTS!$P:$P,MATCH($A7,[4]IMPORTS!$C:$C,0)),"")</f>
        <v>28.6</v>
      </c>
      <c r="I7" s="408" t="str">
        <f>+IFERROR(INDEX([4]IMPORTS!$R:$R,MATCH($A7,[4]IMPORTS!$C:$C,0)),"")</f>
        <v>CIF</v>
      </c>
      <c r="J7" s="409">
        <f>+IFERROR(INDEX([4]IMPORTS!$S:$S,MATCH($A7,[4]IMPORTS!$C:$C,0)),"")</f>
        <v>335</v>
      </c>
      <c r="K7" s="403">
        <f t="shared" si="1"/>
        <v>9581</v>
      </c>
      <c r="L7" s="403">
        <f t="shared" si="4"/>
        <v>10.539100000000001</v>
      </c>
      <c r="M7" s="403">
        <f t="shared" si="5"/>
        <v>9591.5391</v>
      </c>
      <c r="N7" s="404">
        <f t="shared" si="6"/>
        <v>192</v>
      </c>
      <c r="O7" s="404">
        <f t="shared" si="7"/>
        <v>1535</v>
      </c>
      <c r="P7" s="404">
        <f t="shared" si="8"/>
        <v>396</v>
      </c>
      <c r="Q7" s="463">
        <f t="shared" si="2"/>
        <v>2123</v>
      </c>
      <c r="R7" s="463">
        <v>-273</v>
      </c>
      <c r="S7" s="463">
        <f t="shared" si="3"/>
        <v>-579579</v>
      </c>
      <c r="T7" s="397" t="s">
        <v>256</v>
      </c>
    </row>
    <row r="8" spans="1:20" ht="15" hidden="1" x14ac:dyDescent="0.25">
      <c r="A8" s="398" t="s">
        <v>896</v>
      </c>
      <c r="B8" s="398"/>
      <c r="C8" s="399" t="s">
        <v>789</v>
      </c>
      <c r="D8" s="400" t="s">
        <v>280</v>
      </c>
      <c r="E8" s="401" t="s">
        <v>828</v>
      </c>
      <c r="F8" s="408">
        <f>+IFERROR(INDEX([4]IMPORTS!$Y:$Y,MATCH($A8,[4]IMPORTS!$C:$C,0)),"")</f>
        <v>43495</v>
      </c>
      <c r="G8" s="408">
        <f t="shared" si="0"/>
        <v>43493</v>
      </c>
      <c r="H8" s="402">
        <f>+IFERROR(INDEX([4]IMPORTS!$P:$P,MATCH($A8,[4]IMPORTS!$C:$C,0)),"")</f>
        <v>800.4</v>
      </c>
      <c r="I8" s="408" t="str">
        <f>+IFERROR(INDEX([4]IMPORTS!$R:$R,MATCH($A8,[4]IMPORTS!$C:$C,0)),"")</f>
        <v>CFR</v>
      </c>
      <c r="J8" s="409">
        <f>+IFERROR(INDEX([4]IMPORTS!$S:$S,MATCH($A8,[4]IMPORTS!$C:$C,0)),"")</f>
        <v>135</v>
      </c>
      <c r="K8" s="403">
        <f t="shared" si="1"/>
        <v>108054</v>
      </c>
      <c r="L8" s="403">
        <f t="shared" si="4"/>
        <v>118.85940000000001</v>
      </c>
      <c r="M8" s="403">
        <f t="shared" si="5"/>
        <v>108172.8594</v>
      </c>
      <c r="N8" s="404">
        <f t="shared" si="6"/>
        <v>2163</v>
      </c>
      <c r="O8" s="404">
        <f t="shared" si="7"/>
        <v>17308</v>
      </c>
      <c r="P8" s="404">
        <f t="shared" si="8"/>
        <v>4468</v>
      </c>
      <c r="Q8" s="463">
        <f t="shared" si="2"/>
        <v>23939</v>
      </c>
      <c r="R8" s="464">
        <v>3.3610000000000002</v>
      </c>
      <c r="S8" s="463">
        <f t="shared" si="3"/>
        <v>80458.979000000007</v>
      </c>
      <c r="T8" s="397" t="s">
        <v>256</v>
      </c>
    </row>
    <row r="9" spans="1:20" ht="15" hidden="1" x14ac:dyDescent="0.25">
      <c r="A9" s="398" t="s">
        <v>897</v>
      </c>
      <c r="B9" s="398"/>
      <c r="C9" s="399" t="s">
        <v>789</v>
      </c>
      <c r="D9" s="400" t="s">
        <v>280</v>
      </c>
      <c r="E9" s="401" t="s">
        <v>827</v>
      </c>
      <c r="F9" s="408">
        <f>+IFERROR(INDEX([4]IMPORTS!$Y:$Y,MATCH($A9,[4]IMPORTS!$C:$C,0)),"")</f>
        <v>43488</v>
      </c>
      <c r="G9" s="408">
        <f t="shared" si="0"/>
        <v>43486</v>
      </c>
      <c r="H9" s="402">
        <f>+IFERROR(INDEX([4]IMPORTS!$P:$P,MATCH($A9,[4]IMPORTS!$C:$C,0)),"")</f>
        <v>399</v>
      </c>
      <c r="I9" s="408" t="str">
        <f>+IFERROR(INDEX([4]IMPORTS!$R:$R,MATCH($A9,[4]IMPORTS!$C:$C,0)),"")</f>
        <v>CFR</v>
      </c>
      <c r="J9" s="409">
        <f>+IFERROR(INDEX([4]IMPORTS!$S:$S,MATCH($A9,[4]IMPORTS!$C:$C,0)),"")</f>
        <v>145</v>
      </c>
      <c r="K9" s="403">
        <f t="shared" si="1"/>
        <v>57855</v>
      </c>
      <c r="L9" s="403">
        <f t="shared" si="4"/>
        <v>63.640500000000003</v>
      </c>
      <c r="M9" s="403">
        <f t="shared" si="5"/>
        <v>57918.640500000001</v>
      </c>
      <c r="N9" s="404">
        <f t="shared" si="6"/>
        <v>1158</v>
      </c>
      <c r="O9" s="404">
        <f t="shared" si="7"/>
        <v>9267</v>
      </c>
      <c r="P9" s="404">
        <f t="shared" si="8"/>
        <v>2392</v>
      </c>
      <c r="Q9" s="463">
        <f t="shared" si="2"/>
        <v>12817</v>
      </c>
      <c r="R9" s="464">
        <v>3.3610000000000002</v>
      </c>
      <c r="S9" s="463">
        <f t="shared" si="3"/>
        <v>43077.937000000005</v>
      </c>
      <c r="T9" s="397" t="s">
        <v>256</v>
      </c>
    </row>
    <row r="10" spans="1:20" ht="15" hidden="1" x14ac:dyDescent="0.25">
      <c r="A10" s="398" t="s">
        <v>917</v>
      </c>
      <c r="B10" s="398"/>
      <c r="C10" s="399" t="s">
        <v>56</v>
      </c>
      <c r="D10" s="400" t="s">
        <v>50</v>
      </c>
      <c r="E10" s="401" t="s">
        <v>828</v>
      </c>
      <c r="F10" s="408">
        <f>+IFERROR(INDEX([4]IMPORTS!$Y:$Y,MATCH($A10,[4]IMPORTS!$C:$C,0)),"")</f>
        <v>43497</v>
      </c>
      <c r="G10" s="408">
        <f t="shared" si="0"/>
        <v>43495</v>
      </c>
      <c r="H10" s="402">
        <f>+IFERROR(INDEX([4]IMPORTS!$P:$P,MATCH($A10,[4]IMPORTS!$C:$C,0)),"")</f>
        <v>240</v>
      </c>
      <c r="I10" s="408" t="str">
        <f>+IFERROR(INDEX([4]IMPORTS!$R:$R,MATCH($A10,[4]IMPORTS!$C:$C,0)),"")</f>
        <v>CFR</v>
      </c>
      <c r="J10" s="409">
        <f>+IFERROR(INDEX([4]IMPORTS!$S:$S,MATCH($A10,[4]IMPORTS!$C:$C,0)),"")</f>
        <v>377</v>
      </c>
      <c r="K10" s="403">
        <f t="shared" si="1"/>
        <v>90480</v>
      </c>
      <c r="L10" s="403">
        <f t="shared" si="4"/>
        <v>99.528000000000006</v>
      </c>
      <c r="M10" s="403">
        <f t="shared" si="5"/>
        <v>90579.528000000006</v>
      </c>
      <c r="N10" s="404">
        <f t="shared" si="6"/>
        <v>1812</v>
      </c>
      <c r="O10" s="404">
        <f t="shared" si="7"/>
        <v>14493</v>
      </c>
      <c r="P10" s="404">
        <f t="shared" si="8"/>
        <v>3741</v>
      </c>
      <c r="Q10" s="463">
        <f t="shared" si="2"/>
        <v>20046</v>
      </c>
      <c r="R10" s="464">
        <v>3.3610000000000002</v>
      </c>
      <c r="S10" s="463">
        <f t="shared" si="3"/>
        <v>67374.606</v>
      </c>
      <c r="T10" s="397" t="s">
        <v>256</v>
      </c>
    </row>
    <row r="11" spans="1:20" ht="15" hidden="1" x14ac:dyDescent="0.25">
      <c r="A11" s="398" t="s">
        <v>918</v>
      </c>
      <c r="B11" s="398"/>
      <c r="C11" s="399" t="s">
        <v>56</v>
      </c>
      <c r="D11" s="400" t="s">
        <v>50</v>
      </c>
      <c r="E11" s="401" t="s">
        <v>827</v>
      </c>
      <c r="F11" s="408">
        <f>+IFERROR(INDEX([4]IMPORTS!$Y:$Y,MATCH($A11,[4]IMPORTS!$C:$C,0)),"")</f>
        <v>43500</v>
      </c>
      <c r="G11" s="408">
        <f t="shared" si="0"/>
        <v>43498</v>
      </c>
      <c r="H11" s="402">
        <f>+IFERROR(INDEX([4]IMPORTS!$P:$P,MATCH($A11,[4]IMPORTS!$C:$C,0)),"")</f>
        <v>264</v>
      </c>
      <c r="I11" s="408" t="str">
        <f>+IFERROR(INDEX([4]IMPORTS!$R:$R,MATCH($A11,[4]IMPORTS!$C:$C,0)),"")</f>
        <v>CFR</v>
      </c>
      <c r="J11" s="409">
        <f>+IFERROR(INDEX([4]IMPORTS!$S:$S,MATCH($A11,[4]IMPORTS!$C:$C,0)),"")</f>
        <v>387</v>
      </c>
      <c r="K11" s="403">
        <f t="shared" si="1"/>
        <v>102168</v>
      </c>
      <c r="L11" s="403">
        <f t="shared" si="4"/>
        <v>112.38480000000001</v>
      </c>
      <c r="M11" s="403">
        <f t="shared" si="5"/>
        <v>102280.3848</v>
      </c>
      <c r="N11" s="404">
        <f t="shared" si="6"/>
        <v>2046</v>
      </c>
      <c r="O11" s="404">
        <f t="shared" si="7"/>
        <v>16365</v>
      </c>
      <c r="P11" s="404">
        <f t="shared" si="8"/>
        <v>4224</v>
      </c>
      <c r="Q11" s="463">
        <f t="shared" si="2"/>
        <v>22635</v>
      </c>
      <c r="R11" s="464">
        <v>3.3610000000000002</v>
      </c>
      <c r="S11" s="463">
        <f t="shared" si="3"/>
        <v>76076.235000000001</v>
      </c>
      <c r="T11" s="397" t="s">
        <v>256</v>
      </c>
    </row>
    <row r="12" spans="1:20" ht="15" hidden="1" x14ac:dyDescent="0.25">
      <c r="A12" s="398" t="s">
        <v>925</v>
      </c>
      <c r="B12" s="398"/>
      <c r="C12" s="399" t="s">
        <v>926</v>
      </c>
      <c r="D12" s="400" t="s">
        <v>361</v>
      </c>
      <c r="E12" s="401" t="s">
        <v>828</v>
      </c>
      <c r="F12" s="408">
        <f>+IFERROR(INDEX([4]IMPORTS!$Y:$Y,MATCH($A12,[4]IMPORTS!$C:$C,0)),"")</f>
        <v>43513</v>
      </c>
      <c r="G12" s="408">
        <f t="shared" si="0"/>
        <v>43511</v>
      </c>
      <c r="H12" s="402">
        <f>+IFERROR(INDEX([4]IMPORTS!$P:$P,MATCH($A12,[4]IMPORTS!$C:$C,0)),"")</f>
        <v>48</v>
      </c>
      <c r="I12" s="408" t="str">
        <f>+IFERROR(INDEX([4]IMPORTS!$R:$R,MATCH($A12,[4]IMPORTS!$C:$C,0)),"")</f>
        <v>CIF</v>
      </c>
      <c r="J12" s="409">
        <f>+IFERROR(INDEX([4]IMPORTS!$S:$S,MATCH($A12,[4]IMPORTS!$C:$C,0)),"")</f>
        <v>1180</v>
      </c>
      <c r="K12" s="403">
        <f t="shared" si="1"/>
        <v>56640</v>
      </c>
      <c r="L12" s="403">
        <f t="shared" si="4"/>
        <v>62.304000000000002</v>
      </c>
      <c r="M12" s="403">
        <f t="shared" si="5"/>
        <v>56702.303999999996</v>
      </c>
      <c r="N12" s="404">
        <f t="shared" si="6"/>
        <v>1134</v>
      </c>
      <c r="O12" s="404">
        <f t="shared" si="7"/>
        <v>9072</v>
      </c>
      <c r="P12" s="404">
        <f t="shared" si="8"/>
        <v>2342</v>
      </c>
      <c r="Q12" s="463">
        <f t="shared" si="2"/>
        <v>12548</v>
      </c>
      <c r="R12" s="464">
        <v>3.3610000000000002</v>
      </c>
      <c r="S12" s="463">
        <f t="shared" si="3"/>
        <v>42173.828000000001</v>
      </c>
      <c r="T12" s="397" t="s">
        <v>256</v>
      </c>
    </row>
    <row r="13" spans="1:20" ht="15" hidden="1" x14ac:dyDescent="0.25">
      <c r="A13" s="398" t="s">
        <v>933</v>
      </c>
      <c r="B13" s="398"/>
      <c r="C13" s="399" t="s">
        <v>14</v>
      </c>
      <c r="D13" s="400" t="s">
        <v>928</v>
      </c>
      <c r="E13" s="401" t="s">
        <v>828</v>
      </c>
      <c r="F13" s="408">
        <f>+IFERROR(INDEX([4]IMPORTS!$Y:$Y,MATCH($A13,[4]IMPORTS!$C:$C,0)),"")</f>
        <v>43524</v>
      </c>
      <c r="G13" s="408">
        <f t="shared" si="0"/>
        <v>43522</v>
      </c>
      <c r="H13" s="402">
        <f>+IFERROR(INDEX([4]IMPORTS!$P:$P,MATCH($A13,[4]IMPORTS!$C:$C,0)),"")</f>
        <v>505.4</v>
      </c>
      <c r="I13" s="408" t="str">
        <f>+IFERROR(INDEX([4]IMPORTS!$R:$R,MATCH($A13,[4]IMPORTS!$C:$C,0)),"")</f>
        <v>CFR</v>
      </c>
      <c r="J13" s="409">
        <f>+IFERROR(INDEX([4]IMPORTS!$S:$S,MATCH($A13,[4]IMPORTS!$C:$C,0)),"")</f>
        <v>874</v>
      </c>
      <c r="K13" s="403">
        <f t="shared" si="1"/>
        <v>441719.6</v>
      </c>
      <c r="L13" s="403">
        <f t="shared" si="4"/>
        <v>485.89156000000003</v>
      </c>
      <c r="M13" s="403">
        <f t="shared" si="5"/>
        <v>442205.49155999999</v>
      </c>
      <c r="N13" s="404">
        <f t="shared" si="6"/>
        <v>8844</v>
      </c>
      <c r="O13" s="404">
        <f t="shared" si="7"/>
        <v>70753</v>
      </c>
      <c r="P13" s="404">
        <f t="shared" si="8"/>
        <v>18263</v>
      </c>
      <c r="Q13" s="463">
        <f t="shared" si="2"/>
        <v>97860</v>
      </c>
      <c r="R13" s="464">
        <v>3.3610000000000002</v>
      </c>
      <c r="S13" s="463">
        <f t="shared" si="3"/>
        <v>328907.46000000002</v>
      </c>
      <c r="T13" s="397" t="s">
        <v>256</v>
      </c>
    </row>
    <row r="14" spans="1:20" ht="15" hidden="1" x14ac:dyDescent="0.25">
      <c r="A14" s="398" t="s">
        <v>935</v>
      </c>
      <c r="B14" s="398"/>
      <c r="C14" s="399" t="s">
        <v>14</v>
      </c>
      <c r="D14" s="400" t="s">
        <v>928</v>
      </c>
      <c r="E14" s="401" t="s">
        <v>827</v>
      </c>
      <c r="F14" s="408">
        <f>+IFERROR(INDEX([4]IMPORTS!$Y:$Y,MATCH($A14,[4]IMPORTS!$C:$C,0)),"")</f>
        <v>43528</v>
      </c>
      <c r="G14" s="408">
        <f t="shared" si="0"/>
        <v>43526</v>
      </c>
      <c r="H14" s="402">
        <f>+IFERROR(INDEX([4]IMPORTS!$P:$P,MATCH($A14,[4]IMPORTS!$C:$C,0)),"")</f>
        <v>505.4</v>
      </c>
      <c r="I14" s="408" t="str">
        <f>+IFERROR(INDEX([4]IMPORTS!$R:$R,MATCH($A14,[4]IMPORTS!$C:$C,0)),"")</f>
        <v>CFR</v>
      </c>
      <c r="J14" s="409">
        <f>+IFERROR(INDEX([4]IMPORTS!$S:$S,MATCH($A14,[4]IMPORTS!$C:$C,0)),"")</f>
        <v>877</v>
      </c>
      <c r="K14" s="403">
        <f t="shared" si="1"/>
        <v>443235.8</v>
      </c>
      <c r="L14" s="403">
        <f t="shared" si="4"/>
        <v>487.55938000000003</v>
      </c>
      <c r="M14" s="403">
        <f t="shared" si="5"/>
        <v>443723.35937999998</v>
      </c>
      <c r="N14" s="404">
        <f t="shared" si="6"/>
        <v>8874</v>
      </c>
      <c r="O14" s="404">
        <f t="shared" si="7"/>
        <v>70996</v>
      </c>
      <c r="P14" s="404">
        <f t="shared" si="8"/>
        <v>18326</v>
      </c>
      <c r="Q14" s="463">
        <f t="shared" si="2"/>
        <v>98196</v>
      </c>
      <c r="R14" s="464">
        <v>3.3610000000000002</v>
      </c>
      <c r="S14" s="463">
        <f t="shared" si="3"/>
        <v>330036.75599999999</v>
      </c>
      <c r="T14" s="397" t="s">
        <v>256</v>
      </c>
    </row>
    <row r="15" spans="1:20" ht="15" hidden="1" x14ac:dyDescent="0.25">
      <c r="A15" s="398" t="s">
        <v>936</v>
      </c>
      <c r="B15" s="398"/>
      <c r="C15" s="399" t="s">
        <v>14</v>
      </c>
      <c r="D15" s="400" t="s">
        <v>928</v>
      </c>
      <c r="E15" s="401" t="s">
        <v>829</v>
      </c>
      <c r="F15" s="408">
        <f>+IFERROR(INDEX([4]IMPORTS!$Y:$Y,MATCH($A15,[4]IMPORTS!$C:$C,0)),"")</f>
        <v>43538</v>
      </c>
      <c r="G15" s="408">
        <f t="shared" si="0"/>
        <v>43536</v>
      </c>
      <c r="H15" s="402">
        <f>+IFERROR(INDEX([4]IMPORTS!$P:$P,MATCH($A15,[4]IMPORTS!$C:$C,0)),"")</f>
        <v>159.6</v>
      </c>
      <c r="I15" s="408" t="str">
        <f>+IFERROR(INDEX([4]IMPORTS!$R:$R,MATCH($A15,[4]IMPORTS!$C:$C,0)),"")</f>
        <v>CFR</v>
      </c>
      <c r="J15" s="409">
        <f>+IFERROR(INDEX([4]IMPORTS!$S:$S,MATCH($A15,[4]IMPORTS!$C:$C,0)),"")</f>
        <v>921</v>
      </c>
      <c r="K15" s="403">
        <f t="shared" si="1"/>
        <v>146991.6</v>
      </c>
      <c r="L15" s="403">
        <f t="shared" si="4"/>
        <v>161.69076000000001</v>
      </c>
      <c r="M15" s="403">
        <f t="shared" si="5"/>
        <v>147153.29076</v>
      </c>
      <c r="N15" s="404">
        <f t="shared" si="6"/>
        <v>2943</v>
      </c>
      <c r="O15" s="404">
        <f t="shared" si="7"/>
        <v>23545</v>
      </c>
      <c r="P15" s="404">
        <f t="shared" si="8"/>
        <v>6077</v>
      </c>
      <c r="Q15" s="463">
        <f t="shared" si="2"/>
        <v>32565</v>
      </c>
      <c r="R15" s="464">
        <v>3.3610000000000002</v>
      </c>
      <c r="S15" s="463">
        <f t="shared" si="3"/>
        <v>109450.96500000001</v>
      </c>
      <c r="T15" s="397" t="s">
        <v>256</v>
      </c>
    </row>
    <row r="16" spans="1:20" ht="15" hidden="1" x14ac:dyDescent="0.25">
      <c r="A16" s="398" t="s">
        <v>944</v>
      </c>
      <c r="B16" s="398"/>
      <c r="C16" s="399" t="s">
        <v>945</v>
      </c>
      <c r="D16" s="400" t="s">
        <v>7</v>
      </c>
      <c r="E16" s="401" t="s">
        <v>828</v>
      </c>
      <c r="F16" s="408">
        <f>+IFERROR(INDEX([4]IMPORTS!$Y:$Y,MATCH($A16,[4]IMPORTS!$C:$C,0)),"")</f>
        <v>43516</v>
      </c>
      <c r="G16" s="408">
        <f t="shared" si="0"/>
        <v>43514</v>
      </c>
      <c r="H16" s="402">
        <f>+IFERROR(INDEX([4]IMPORTS!$P:$P,MATCH($A16,[4]IMPORTS!$C:$C,0)),"")</f>
        <v>24.65</v>
      </c>
      <c r="I16" s="408" t="str">
        <f>+IFERROR(INDEX([4]IMPORTS!$R:$R,MATCH($A16,[4]IMPORTS!$C:$C,0)),"")</f>
        <v>CPT</v>
      </c>
      <c r="J16" s="409">
        <f>+IFERROR(INDEX([4]IMPORTS!$S:$S,MATCH($A16,[4]IMPORTS!$C:$C,0)),"")</f>
        <v>750</v>
      </c>
      <c r="K16" s="403">
        <f t="shared" si="1"/>
        <v>18487.5</v>
      </c>
      <c r="L16" s="403">
        <f t="shared" si="4"/>
        <v>20.33625</v>
      </c>
      <c r="M16" s="403">
        <f t="shared" si="5"/>
        <v>18507.83625</v>
      </c>
      <c r="N16" s="404">
        <f t="shared" si="6"/>
        <v>370</v>
      </c>
      <c r="O16" s="404">
        <f t="shared" si="7"/>
        <v>2961</v>
      </c>
      <c r="P16" s="404">
        <f t="shared" si="8"/>
        <v>764</v>
      </c>
      <c r="Q16" s="463">
        <f t="shared" si="2"/>
        <v>4095</v>
      </c>
      <c r="R16" s="464">
        <v>3.3610000000000002</v>
      </c>
      <c r="S16" s="463">
        <f t="shared" si="3"/>
        <v>13763.295</v>
      </c>
      <c r="T16" s="397" t="s">
        <v>256</v>
      </c>
    </row>
    <row r="17" spans="1:20" ht="15" hidden="1" x14ac:dyDescent="0.25">
      <c r="A17" s="398" t="s">
        <v>946</v>
      </c>
      <c r="B17" s="398"/>
      <c r="C17" s="399" t="s">
        <v>947</v>
      </c>
      <c r="D17" s="400" t="s">
        <v>7</v>
      </c>
      <c r="E17" s="401" t="s">
        <v>828</v>
      </c>
      <c r="F17" s="408">
        <f>+IFERROR(INDEX([4]IMPORTS!$Y:$Y,MATCH($A17,[4]IMPORTS!$C:$C,0)),"")</f>
        <v>43516</v>
      </c>
      <c r="G17" s="408">
        <f t="shared" si="0"/>
        <v>43514</v>
      </c>
      <c r="H17" s="402">
        <f>+IFERROR(INDEX([4]IMPORTS!$P:$P,MATCH($A17,[4]IMPORTS!$C:$C,0)),"")</f>
        <v>23.94</v>
      </c>
      <c r="I17" s="408" t="str">
        <f>+IFERROR(INDEX([4]IMPORTS!$R:$R,MATCH($A17,[4]IMPORTS!$C:$C,0)),"")</f>
        <v>CPT</v>
      </c>
      <c r="J17" s="409">
        <f>+IFERROR(INDEX([4]IMPORTS!$S:$S,MATCH($A17,[4]IMPORTS!$C:$C,0)),"")</f>
        <v>434</v>
      </c>
      <c r="K17" s="403">
        <f t="shared" si="1"/>
        <v>10389.960000000001</v>
      </c>
      <c r="L17" s="403">
        <f t="shared" si="4"/>
        <v>11.428956000000001</v>
      </c>
      <c r="M17" s="403">
        <f t="shared" si="5"/>
        <v>10401.388956000001</v>
      </c>
      <c r="N17" s="404">
        <f t="shared" si="6"/>
        <v>208</v>
      </c>
      <c r="O17" s="404">
        <f t="shared" si="7"/>
        <v>1664</v>
      </c>
      <c r="P17" s="404">
        <f t="shared" si="8"/>
        <v>430</v>
      </c>
      <c r="Q17" s="463">
        <f t="shared" si="2"/>
        <v>2302</v>
      </c>
      <c r="R17" s="464">
        <v>3.3610000000000002</v>
      </c>
      <c r="S17" s="463">
        <f t="shared" si="3"/>
        <v>7737.0220000000008</v>
      </c>
      <c r="T17" s="397" t="s">
        <v>256</v>
      </c>
    </row>
    <row r="18" spans="1:20" ht="15" hidden="1" x14ac:dyDescent="0.25">
      <c r="A18" s="398" t="s">
        <v>948</v>
      </c>
      <c r="B18" s="398"/>
      <c r="C18" s="399" t="s">
        <v>3026</v>
      </c>
      <c r="D18" s="400" t="s">
        <v>7</v>
      </c>
      <c r="E18" s="401" t="s">
        <v>828</v>
      </c>
      <c r="F18" s="408">
        <f>+IFERROR(INDEX([4]IMPORTS!$Y:$Y,MATCH($A18,[4]IMPORTS!$C:$C,0)),"")</f>
        <v>43500</v>
      </c>
      <c r="G18" s="408">
        <f t="shared" si="0"/>
        <v>43498</v>
      </c>
      <c r="H18" s="402">
        <f>+IFERROR(INDEX([4]IMPORTS!$P:$P,MATCH($A18,[4]IMPORTS!$C:$C,0)),"")</f>
        <v>24.8</v>
      </c>
      <c r="I18" s="408" t="str">
        <f>+IFERROR(INDEX([4]IMPORTS!$R:$R,MATCH($A18,[4]IMPORTS!$C:$C,0)),"")</f>
        <v>CPT</v>
      </c>
      <c r="J18" s="409">
        <f>+IFERROR(INDEX([4]IMPORTS!$S:$S,MATCH($A18,[4]IMPORTS!$C:$C,0)),"")</f>
        <v>788</v>
      </c>
      <c r="K18" s="403">
        <f t="shared" si="1"/>
        <v>19542.400000000001</v>
      </c>
      <c r="L18" s="403">
        <f t="shared" si="4"/>
        <v>21.496640000000003</v>
      </c>
      <c r="M18" s="403">
        <f t="shared" si="5"/>
        <v>19563.896640000003</v>
      </c>
      <c r="N18" s="404">
        <f t="shared" si="6"/>
        <v>391</v>
      </c>
      <c r="O18" s="404">
        <f t="shared" si="7"/>
        <v>3130</v>
      </c>
      <c r="P18" s="404">
        <f t="shared" si="8"/>
        <v>808</v>
      </c>
      <c r="Q18" s="463">
        <f t="shared" si="2"/>
        <v>4329</v>
      </c>
      <c r="R18" s="464">
        <v>3.3610000000000002</v>
      </c>
      <c r="S18" s="463">
        <f t="shared" si="3"/>
        <v>14549.769</v>
      </c>
      <c r="T18" s="397" t="s">
        <v>256</v>
      </c>
    </row>
    <row r="19" spans="1:20" ht="15" hidden="1" x14ac:dyDescent="0.25">
      <c r="A19" s="398" t="s">
        <v>991</v>
      </c>
      <c r="B19" s="398"/>
      <c r="C19" s="399" t="s">
        <v>1067</v>
      </c>
      <c r="D19" s="400" t="s">
        <v>890</v>
      </c>
      <c r="E19" s="401" t="s">
        <v>828</v>
      </c>
      <c r="F19" s="408">
        <f>+IFERROR(INDEX([4]IMPORTS!$Y:$Y,MATCH($A19,[4]IMPORTS!$C:$C,0)),"")</f>
        <v>43555</v>
      </c>
      <c r="G19" s="408">
        <f t="shared" si="0"/>
        <v>43553</v>
      </c>
      <c r="H19" s="402">
        <f>+IFERROR(INDEX([4]IMPORTS!$P:$P,MATCH($A19,[4]IMPORTS!$C:$C,0)),"")</f>
        <v>100</v>
      </c>
      <c r="I19" s="408" t="str">
        <f>+IFERROR(INDEX([4]IMPORTS!$R:$R,MATCH($A19,[4]IMPORTS!$C:$C,0)),"")</f>
        <v>CIF</v>
      </c>
      <c r="J19" s="409">
        <f>+IFERROR(INDEX([4]IMPORTS!$S:$S,MATCH($A19,[4]IMPORTS!$C:$C,0)),"")</f>
        <v>340</v>
      </c>
      <c r="K19" s="403">
        <f t="shared" si="1"/>
        <v>34000</v>
      </c>
      <c r="L19" s="403">
        <f t="shared" si="4"/>
        <v>37.400000000000006</v>
      </c>
      <c r="M19" s="403">
        <f t="shared" si="5"/>
        <v>34037.4</v>
      </c>
      <c r="N19" s="404">
        <f t="shared" si="6"/>
        <v>681</v>
      </c>
      <c r="O19" s="404">
        <f t="shared" si="7"/>
        <v>5446</v>
      </c>
      <c r="P19" s="404">
        <f t="shared" si="8"/>
        <v>1406</v>
      </c>
      <c r="Q19" s="463">
        <f t="shared" si="2"/>
        <v>7533</v>
      </c>
      <c r="R19" s="464">
        <v>3.3610000000000002</v>
      </c>
      <c r="S19" s="463">
        <f t="shared" si="3"/>
        <v>25318.413</v>
      </c>
      <c r="T19" s="397" t="s">
        <v>256</v>
      </c>
    </row>
    <row r="20" spans="1:20" ht="15" hidden="1" x14ac:dyDescent="0.25">
      <c r="A20" s="398" t="s">
        <v>1021</v>
      </c>
      <c r="B20" s="398"/>
      <c r="C20" s="399" t="s">
        <v>14</v>
      </c>
      <c r="D20" s="400" t="s">
        <v>928</v>
      </c>
      <c r="E20" s="401" t="s">
        <v>827</v>
      </c>
      <c r="F20" s="408">
        <f>+IFERROR(INDEX([4]IMPORTS!$Y:$Y,MATCH($A20,[4]IMPORTS!$C:$C,0)),"")</f>
        <v>43548</v>
      </c>
      <c r="G20" s="408">
        <f t="shared" si="0"/>
        <v>43546</v>
      </c>
      <c r="H20" s="402">
        <f>+IFERROR(INDEX([4]IMPORTS!$P:$P,MATCH($A20,[4]IMPORTS!$C:$C,0)),"")</f>
        <v>408</v>
      </c>
      <c r="I20" s="408" t="str">
        <f>+IFERROR(INDEX([4]IMPORTS!$R:$R,MATCH($A20,[4]IMPORTS!$C:$C,0)),"")</f>
        <v>CFR</v>
      </c>
      <c r="J20" s="409">
        <f>+IFERROR(INDEX([4]IMPORTS!$S:$S,MATCH($A20,[4]IMPORTS!$C:$C,0)),"")</f>
        <v>868</v>
      </c>
      <c r="K20" s="403">
        <f t="shared" si="1"/>
        <v>354144</v>
      </c>
      <c r="L20" s="403">
        <f>+K20*0.11%</f>
        <v>389.55840000000001</v>
      </c>
      <c r="M20" s="403">
        <f>+K20+L20</f>
        <v>354533.55839999998</v>
      </c>
      <c r="N20" s="404">
        <f>ROUND(M20*2%,0)</f>
        <v>7091</v>
      </c>
      <c r="O20" s="404">
        <f>ROUND(M20*16%,0)</f>
        <v>56725</v>
      </c>
      <c r="P20" s="404">
        <f>ROUND((M20+N20+O20)*3.5%,0)</f>
        <v>14642</v>
      </c>
      <c r="Q20" s="463">
        <f t="shared" si="2"/>
        <v>78458</v>
      </c>
      <c r="R20" s="464">
        <v>3.3610000000000002</v>
      </c>
      <c r="S20" s="463">
        <f t="shared" si="3"/>
        <v>263697.33799999999</v>
      </c>
      <c r="T20" s="397" t="s">
        <v>256</v>
      </c>
    </row>
    <row r="21" spans="1:20" ht="15" hidden="1" x14ac:dyDescent="0.25">
      <c r="A21" s="398" t="s">
        <v>1019</v>
      </c>
      <c r="B21" s="398"/>
      <c r="C21" s="399" t="s">
        <v>1020</v>
      </c>
      <c r="D21" s="400" t="s">
        <v>7</v>
      </c>
      <c r="E21" s="401" t="s">
        <v>828</v>
      </c>
      <c r="F21" s="408">
        <f>+IFERROR(INDEX([4]IMPORTS!$Y:$Y,MATCH($A21,[4]IMPORTS!$C:$C,0)),"")</f>
        <v>43567</v>
      </c>
      <c r="G21" s="408">
        <f t="shared" si="0"/>
        <v>43565</v>
      </c>
      <c r="H21" s="402">
        <f>+IFERROR(INDEX([4]IMPORTS!$P:$P,MATCH($A21,[4]IMPORTS!$C:$C,0)),"")</f>
        <v>106</v>
      </c>
      <c r="I21" s="408" t="str">
        <f>+IFERROR(INDEX([4]IMPORTS!$R:$R,MATCH($A21,[4]IMPORTS!$C:$C,0)),"")</f>
        <v>CPT</v>
      </c>
      <c r="J21" s="409">
        <f>+IFERROR(INDEX([4]IMPORTS!$S:$S,MATCH($A21,[4]IMPORTS!$C:$C,0)),"")</f>
        <v>718</v>
      </c>
      <c r="K21" s="403">
        <f t="shared" si="1"/>
        <v>76108</v>
      </c>
      <c r="L21" s="403">
        <f t="shared" si="4"/>
        <v>83.718800000000002</v>
      </c>
      <c r="M21" s="403">
        <f t="shared" si="5"/>
        <v>76191.718800000002</v>
      </c>
      <c r="N21" s="404">
        <f t="shared" si="6"/>
        <v>1524</v>
      </c>
      <c r="O21" s="404">
        <f t="shared" si="7"/>
        <v>12191</v>
      </c>
      <c r="P21" s="404">
        <f t="shared" si="8"/>
        <v>3147</v>
      </c>
      <c r="Q21" s="463">
        <f t="shared" si="2"/>
        <v>16862</v>
      </c>
      <c r="R21" s="464">
        <v>3.3610000000000002</v>
      </c>
      <c r="S21" s="463">
        <f t="shared" si="3"/>
        <v>56673.182000000001</v>
      </c>
      <c r="T21" s="397" t="s">
        <v>256</v>
      </c>
    </row>
    <row r="22" spans="1:20" ht="15" hidden="1" x14ac:dyDescent="0.25">
      <c r="A22" s="398" t="s">
        <v>3027</v>
      </c>
      <c r="B22" s="398"/>
      <c r="C22" s="399" t="s">
        <v>789</v>
      </c>
      <c r="D22" s="400" t="s">
        <v>816</v>
      </c>
      <c r="E22" s="401" t="s">
        <v>827</v>
      </c>
      <c r="F22" s="408">
        <f>+IFERROR(INDEX([4]IMPORTS!$Y:$Y,MATCH($A22,[4]IMPORTS!$C:$C,0)),"")</f>
        <v>43578</v>
      </c>
      <c r="G22" s="408">
        <f t="shared" si="0"/>
        <v>43576</v>
      </c>
      <c r="H22" s="402">
        <f>+IFERROR(INDEX([4]IMPORTS!$P:$P,MATCH($A22,[4]IMPORTS!$C:$C,0)),"")</f>
        <v>85.5</v>
      </c>
      <c r="I22" s="408" t="str">
        <f>+IFERROR(INDEX([4]IMPORTS!$R:$R,MATCH($A22,[4]IMPORTS!$C:$C,0)),"")</f>
        <v>CFR</v>
      </c>
      <c r="J22" s="409">
        <f>+IFERROR(INDEX([4]IMPORTS!$S:$S,MATCH($A22,[4]IMPORTS!$C:$C,0)),"")</f>
        <v>125</v>
      </c>
      <c r="K22" s="403">
        <f t="shared" si="1"/>
        <v>10687.5</v>
      </c>
      <c r="L22" s="403">
        <f t="shared" si="4"/>
        <v>11.756250000000001</v>
      </c>
      <c r="M22" s="403">
        <f t="shared" si="5"/>
        <v>10699.25625</v>
      </c>
      <c r="N22" s="404">
        <f t="shared" si="6"/>
        <v>214</v>
      </c>
      <c r="O22" s="404">
        <f t="shared" si="7"/>
        <v>1712</v>
      </c>
      <c r="P22" s="404">
        <f t="shared" si="8"/>
        <v>442</v>
      </c>
      <c r="Q22" s="463">
        <f t="shared" si="2"/>
        <v>2368</v>
      </c>
      <c r="R22" s="464">
        <v>3.3610000000000002</v>
      </c>
      <c r="S22" s="463">
        <f t="shared" si="3"/>
        <v>7958.8480000000009</v>
      </c>
      <c r="T22" s="397" t="s">
        <v>256</v>
      </c>
    </row>
    <row r="23" spans="1:20" ht="15" hidden="1" x14ac:dyDescent="0.25">
      <c r="A23" s="398" t="s">
        <v>3028</v>
      </c>
      <c r="B23" s="398"/>
      <c r="C23" s="399" t="s">
        <v>789</v>
      </c>
      <c r="D23" s="400" t="s">
        <v>816</v>
      </c>
      <c r="E23" s="401" t="s">
        <v>827</v>
      </c>
      <c r="F23" s="408">
        <f>+IFERROR(INDEX([4]IMPORTS!$Y:$Y,MATCH($A23,[4]IMPORTS!$C:$C,0)),"")</f>
        <v>43585</v>
      </c>
      <c r="G23" s="408">
        <f t="shared" si="0"/>
        <v>43583</v>
      </c>
      <c r="H23" s="402">
        <f>+IFERROR(INDEX([4]IMPORTS!$P:$P,MATCH($A23,[4]IMPORTS!$C:$C,0)),"")</f>
        <v>370.5</v>
      </c>
      <c r="I23" s="408" t="str">
        <f>+IFERROR(INDEX([4]IMPORTS!$R:$R,MATCH($A23,[4]IMPORTS!$C:$C,0)),"")</f>
        <v>CFR</v>
      </c>
      <c r="J23" s="409">
        <f>+IFERROR(INDEX([4]IMPORTS!$S:$S,MATCH($A23,[4]IMPORTS!$C:$C,0)),"")</f>
        <v>125</v>
      </c>
      <c r="K23" s="403">
        <f t="shared" si="1"/>
        <v>46312.5</v>
      </c>
      <c r="L23" s="403">
        <f>+K23*0.11%</f>
        <v>50.943750000000001</v>
      </c>
      <c r="M23" s="403">
        <f>+K23+L23</f>
        <v>46363.443749999999</v>
      </c>
      <c r="N23" s="404">
        <f>ROUND(M23*2%,0)</f>
        <v>927</v>
      </c>
      <c r="O23" s="404">
        <f>ROUND(M23*16%,0)</f>
        <v>7418</v>
      </c>
      <c r="P23" s="404">
        <f>ROUND((M23+N23+O23)*3.5%,0)</f>
        <v>1915</v>
      </c>
      <c r="Q23" s="463">
        <f t="shared" si="2"/>
        <v>10260</v>
      </c>
      <c r="R23" s="464">
        <v>3.3610000000000002</v>
      </c>
      <c r="S23" s="463">
        <f t="shared" si="3"/>
        <v>34483.86</v>
      </c>
      <c r="T23" s="397" t="s">
        <v>256</v>
      </c>
    </row>
    <row r="24" spans="1:20" ht="15" hidden="1" x14ac:dyDescent="0.25">
      <c r="A24" s="398" t="s">
        <v>3029</v>
      </c>
      <c r="B24" s="398"/>
      <c r="C24" s="399" t="s">
        <v>1384</v>
      </c>
      <c r="D24" s="400" t="s">
        <v>3030</v>
      </c>
      <c r="E24" s="401" t="s">
        <v>828</v>
      </c>
      <c r="F24" s="408">
        <f>+IFERROR(INDEX([4]IMPORTS!$Y:$Y,MATCH($A24,[4]IMPORTS!$C:$C,0)),"")</f>
        <v>43551</v>
      </c>
      <c r="G24" s="408">
        <f t="shared" si="0"/>
        <v>43549</v>
      </c>
      <c r="H24" s="402">
        <f>+IFERROR(INDEX([4]IMPORTS!$P:$P,MATCH($A24,[4]IMPORTS!$C:$C,0)),"")</f>
        <v>0.5</v>
      </c>
      <c r="I24" s="408" t="str">
        <f>+IFERROR(INDEX([4]IMPORTS!$R:$R,MATCH($A24,[4]IMPORTS!$C:$C,0)),"")</f>
        <v>CIF</v>
      </c>
      <c r="J24" s="409">
        <f>+IFERROR(INDEX([4]IMPORTS!$S:$S,MATCH($A24,[4]IMPORTS!$C:$C,0)),"")</f>
        <v>3933.5</v>
      </c>
      <c r="K24" s="403">
        <f t="shared" si="1"/>
        <v>1966.75</v>
      </c>
      <c r="L24" s="403">
        <f t="shared" si="4"/>
        <v>2.1634250000000002</v>
      </c>
      <c r="M24" s="403">
        <f t="shared" si="5"/>
        <v>1968.913425</v>
      </c>
      <c r="N24" s="404">
        <f t="shared" si="6"/>
        <v>39</v>
      </c>
      <c r="O24" s="404">
        <f t="shared" si="7"/>
        <v>315</v>
      </c>
      <c r="P24" s="404">
        <f t="shared" si="8"/>
        <v>81</v>
      </c>
      <c r="Q24" s="463">
        <f t="shared" si="2"/>
        <v>435</v>
      </c>
      <c r="R24" s="464">
        <v>3.3610000000000002</v>
      </c>
      <c r="S24" s="463">
        <f t="shared" si="3"/>
        <v>1462.0350000000001</v>
      </c>
      <c r="T24" s="397" t="s">
        <v>256</v>
      </c>
    </row>
    <row r="25" spans="1:20" ht="15" hidden="1" x14ac:dyDescent="0.25">
      <c r="A25" s="398" t="s">
        <v>1022</v>
      </c>
      <c r="B25" s="398"/>
      <c r="C25" s="399" t="s">
        <v>14</v>
      </c>
      <c r="D25" s="400" t="s">
        <v>928</v>
      </c>
      <c r="E25" s="401" t="s">
        <v>828</v>
      </c>
      <c r="F25" s="408">
        <f>+IFERROR(INDEX([4]IMPORTS!$Y:$Y,MATCH($A25,[4]IMPORTS!$C:$C,0)),"")</f>
        <v>43570</v>
      </c>
      <c r="G25" s="408">
        <f t="shared" si="0"/>
        <v>43568</v>
      </c>
      <c r="H25" s="402">
        <f>+IFERROR(INDEX([4]IMPORTS!$P:$P,MATCH($A25,[4]IMPORTS!$C:$C,0)),"")</f>
        <v>168</v>
      </c>
      <c r="I25" s="408" t="str">
        <f>+IFERROR(INDEX([4]IMPORTS!$R:$R,MATCH($A25,[4]IMPORTS!$C:$C,0)),"")</f>
        <v>CFR</v>
      </c>
      <c r="J25" s="409">
        <f>+IFERROR(INDEX([4]IMPORTS!$S:$S,MATCH($A25,[4]IMPORTS!$C:$C,0)),"")</f>
        <v>858</v>
      </c>
      <c r="K25" s="403">
        <f t="shared" si="1"/>
        <v>144144</v>
      </c>
      <c r="L25" s="403">
        <f t="shared" si="4"/>
        <v>158.55840000000001</v>
      </c>
      <c r="M25" s="403">
        <f t="shared" si="5"/>
        <v>144302.55840000001</v>
      </c>
      <c r="N25" s="404">
        <f t="shared" si="6"/>
        <v>2886</v>
      </c>
      <c r="O25" s="404">
        <f t="shared" si="7"/>
        <v>23088</v>
      </c>
      <c r="P25" s="404">
        <f t="shared" si="8"/>
        <v>5960</v>
      </c>
      <c r="Q25" s="463">
        <f t="shared" si="2"/>
        <v>31934</v>
      </c>
      <c r="R25" s="464">
        <v>3.3610000000000002</v>
      </c>
      <c r="S25" s="463">
        <f t="shared" si="3"/>
        <v>107330.17400000001</v>
      </c>
      <c r="T25" s="397" t="s">
        <v>256</v>
      </c>
    </row>
    <row r="26" spans="1:20" ht="15" hidden="1" x14ac:dyDescent="0.25">
      <c r="A26" s="398" t="s">
        <v>1023</v>
      </c>
      <c r="B26" s="398"/>
      <c r="C26" s="399" t="s">
        <v>14</v>
      </c>
      <c r="D26" s="400" t="s">
        <v>928</v>
      </c>
      <c r="E26" s="401" t="s">
        <v>827</v>
      </c>
      <c r="F26" s="408">
        <f>+IFERROR(INDEX([4]IMPORTS!$Y:$Y,MATCH($A26,[4]IMPORTS!$C:$C,0)),"")</f>
        <v>43563</v>
      </c>
      <c r="G26" s="408">
        <f t="shared" si="0"/>
        <v>43561</v>
      </c>
      <c r="H26" s="402">
        <f>+IFERROR(INDEX([4]IMPORTS!$P:$P,MATCH($A26,[4]IMPORTS!$C:$C,0)),"")</f>
        <v>360</v>
      </c>
      <c r="I26" s="408" t="str">
        <f>+IFERROR(INDEX([4]IMPORTS!$R:$R,MATCH($A26,[4]IMPORTS!$C:$C,0)),"")</f>
        <v>CFR</v>
      </c>
      <c r="J26" s="409">
        <f>+IFERROR(INDEX([4]IMPORTS!$S:$S,MATCH($A26,[4]IMPORTS!$C:$C,0)),"")</f>
        <v>868</v>
      </c>
      <c r="K26" s="403">
        <f t="shared" si="1"/>
        <v>312480</v>
      </c>
      <c r="L26" s="403">
        <f t="shared" si="4"/>
        <v>343.72800000000001</v>
      </c>
      <c r="M26" s="403">
        <f t="shared" si="5"/>
        <v>312823.728</v>
      </c>
      <c r="N26" s="404">
        <f t="shared" si="6"/>
        <v>6256</v>
      </c>
      <c r="O26" s="404">
        <f t="shared" si="7"/>
        <v>50052</v>
      </c>
      <c r="P26" s="404">
        <f t="shared" si="8"/>
        <v>12920</v>
      </c>
      <c r="Q26" s="463">
        <f t="shared" si="2"/>
        <v>69228</v>
      </c>
      <c r="R26" s="464">
        <v>3.3610000000000002</v>
      </c>
      <c r="S26" s="463">
        <f t="shared" si="3"/>
        <v>232675.30800000002</v>
      </c>
      <c r="T26" s="397" t="s">
        <v>256</v>
      </c>
    </row>
    <row r="27" spans="1:20" ht="15" hidden="1" x14ac:dyDescent="0.25">
      <c r="A27" s="398" t="s">
        <v>1029</v>
      </c>
      <c r="B27" s="398"/>
      <c r="C27" s="399" t="s">
        <v>789</v>
      </c>
      <c r="D27" s="400" t="s">
        <v>816</v>
      </c>
      <c r="E27" s="401" t="s">
        <v>827</v>
      </c>
      <c r="F27" s="408">
        <f>+IFERROR(INDEX([4]IMPORTS!$Y:$Y,MATCH($A27,[4]IMPORTS!$C:$C,0)),"")</f>
        <v>43577</v>
      </c>
      <c r="G27" s="408">
        <f t="shared" si="0"/>
        <v>43575</v>
      </c>
      <c r="H27" s="402">
        <f>+IFERROR(INDEX([4]IMPORTS!$P:$P,MATCH($A27,[4]IMPORTS!$C:$C,0)),"")</f>
        <v>570</v>
      </c>
      <c r="I27" s="408" t="str">
        <f>+IFERROR(INDEX([4]IMPORTS!$R:$R,MATCH($A27,[4]IMPORTS!$C:$C,0)),"")</f>
        <v>CFR</v>
      </c>
      <c r="J27" s="409">
        <f>+IFERROR(INDEX([4]IMPORTS!$S:$S,MATCH($A27,[4]IMPORTS!$C:$C,0)),"")</f>
        <v>125</v>
      </c>
      <c r="K27" s="403">
        <f t="shared" si="1"/>
        <v>71250</v>
      </c>
      <c r="L27" s="403">
        <f t="shared" si="4"/>
        <v>78.375</v>
      </c>
      <c r="M27" s="403">
        <f t="shared" si="5"/>
        <v>71328.375</v>
      </c>
      <c r="N27" s="404">
        <f t="shared" si="6"/>
        <v>1427</v>
      </c>
      <c r="O27" s="404">
        <f t="shared" si="7"/>
        <v>11413</v>
      </c>
      <c r="P27" s="404">
        <f t="shared" si="8"/>
        <v>2946</v>
      </c>
      <c r="Q27" s="463">
        <f t="shared" si="2"/>
        <v>15786</v>
      </c>
      <c r="R27" s="464">
        <v>3.3610000000000002</v>
      </c>
      <c r="S27" s="463">
        <f t="shared" si="3"/>
        <v>53056.746000000006</v>
      </c>
      <c r="T27" s="397" t="s">
        <v>256</v>
      </c>
    </row>
    <row r="28" spans="1:20" ht="15" hidden="1" x14ac:dyDescent="0.25">
      <c r="A28" s="398" t="s">
        <v>1030</v>
      </c>
      <c r="B28" s="398"/>
      <c r="C28" s="399" t="s">
        <v>789</v>
      </c>
      <c r="D28" s="400" t="s">
        <v>816</v>
      </c>
      <c r="E28" s="401" t="s">
        <v>828</v>
      </c>
      <c r="F28" s="408">
        <f>+IFERROR(INDEX([4]IMPORTS!$Y:$Y,MATCH($A28,[4]IMPORTS!$C:$C,0)),"")</f>
        <v>43572</v>
      </c>
      <c r="G28" s="408">
        <f t="shared" si="0"/>
        <v>43570</v>
      </c>
      <c r="H28" s="402">
        <f>+IFERROR(INDEX([4]IMPORTS!$P:$P,MATCH($A28,[4]IMPORTS!$C:$C,0)),"")</f>
        <v>300</v>
      </c>
      <c r="I28" s="408" t="str">
        <f>+IFERROR(INDEX([4]IMPORTS!$R:$R,MATCH($A28,[4]IMPORTS!$C:$C,0)),"")</f>
        <v>CFR</v>
      </c>
      <c r="J28" s="409">
        <f>+IFERROR(INDEX([4]IMPORTS!$S:$S,MATCH($A28,[4]IMPORTS!$C:$C,0)),"")</f>
        <v>125</v>
      </c>
      <c r="K28" s="403">
        <f t="shared" si="1"/>
        <v>37500</v>
      </c>
      <c r="L28" s="403">
        <f t="shared" si="4"/>
        <v>41.25</v>
      </c>
      <c r="M28" s="403">
        <f t="shared" si="5"/>
        <v>37541.25</v>
      </c>
      <c r="N28" s="404">
        <f t="shared" si="6"/>
        <v>751</v>
      </c>
      <c r="O28" s="404">
        <f t="shared" si="7"/>
        <v>6007</v>
      </c>
      <c r="P28" s="404">
        <f t="shared" si="8"/>
        <v>1550</v>
      </c>
      <c r="Q28" s="463">
        <f t="shared" si="2"/>
        <v>8308</v>
      </c>
      <c r="R28" s="464">
        <v>3.3610000000000002</v>
      </c>
      <c r="S28" s="463">
        <f t="shared" si="3"/>
        <v>27923.188000000002</v>
      </c>
      <c r="T28" s="397" t="s">
        <v>256</v>
      </c>
    </row>
    <row r="29" spans="1:20" ht="15" hidden="1" x14ac:dyDescent="0.25">
      <c r="A29" s="398" t="s">
        <v>1118</v>
      </c>
      <c r="B29" s="398"/>
      <c r="C29" s="399" t="s">
        <v>789</v>
      </c>
      <c r="D29" s="400" t="s">
        <v>1294</v>
      </c>
      <c r="E29" s="401" t="s">
        <v>828</v>
      </c>
      <c r="F29" s="408">
        <f>+IFERROR(INDEX([4]IMPORTS!$Y:$Y,MATCH($A29,[4]IMPORTS!$C:$C,0)),"")</f>
        <v>43583</v>
      </c>
      <c r="G29" s="408">
        <f t="shared" si="0"/>
        <v>43581</v>
      </c>
      <c r="H29" s="402">
        <f>+IFERROR(INDEX([4]IMPORTS!$P:$P,MATCH($A29,[4]IMPORTS!$C:$C,0)),"")</f>
        <v>270</v>
      </c>
      <c r="I29" s="408" t="str">
        <f>+IFERROR(INDEX([4]IMPORTS!$R:$R,MATCH($A29,[4]IMPORTS!$C:$C,0)),"")</f>
        <v>CFR</v>
      </c>
      <c r="J29" s="409">
        <f>+IFERROR(INDEX([4]IMPORTS!$S:$S,MATCH($A29,[4]IMPORTS!$C:$C,0)),"")</f>
        <v>125</v>
      </c>
      <c r="K29" s="403">
        <f t="shared" si="1"/>
        <v>33750</v>
      </c>
      <c r="L29" s="403">
        <f t="shared" si="4"/>
        <v>37.125</v>
      </c>
      <c r="M29" s="403">
        <f t="shared" si="5"/>
        <v>33787.125</v>
      </c>
      <c r="N29" s="404">
        <f t="shared" si="6"/>
        <v>676</v>
      </c>
      <c r="O29" s="404">
        <f t="shared" si="7"/>
        <v>5406</v>
      </c>
      <c r="P29" s="404">
        <f t="shared" si="8"/>
        <v>1395</v>
      </c>
      <c r="Q29" s="463">
        <f t="shared" si="2"/>
        <v>7477</v>
      </c>
      <c r="R29" s="464">
        <v>3.3610000000000002</v>
      </c>
      <c r="S29" s="463">
        <f t="shared" si="3"/>
        <v>25130.197</v>
      </c>
      <c r="T29" s="397" t="s">
        <v>256</v>
      </c>
    </row>
    <row r="30" spans="1:20" ht="15" hidden="1" x14ac:dyDescent="0.25">
      <c r="A30" s="398" t="s">
        <v>1119</v>
      </c>
      <c r="B30" s="398"/>
      <c r="C30" s="399" t="s">
        <v>789</v>
      </c>
      <c r="D30" s="400" t="s">
        <v>1294</v>
      </c>
      <c r="E30" s="401" t="s">
        <v>828</v>
      </c>
      <c r="F30" s="408">
        <f>+IFERROR(INDEX([4]IMPORTS!$Y:$Y,MATCH($A30,[4]IMPORTS!$C:$C,0)),"")</f>
        <v>43588</v>
      </c>
      <c r="G30" s="408">
        <f t="shared" si="0"/>
        <v>43586</v>
      </c>
      <c r="H30" s="402">
        <f>+IFERROR(INDEX([4]IMPORTS!$P:$P,MATCH($A30,[4]IMPORTS!$C:$C,0)),"")</f>
        <v>499.7</v>
      </c>
      <c r="I30" s="408" t="str">
        <f>+IFERROR(INDEX([4]IMPORTS!$R:$R,MATCH($A30,[4]IMPORTS!$C:$C,0)),"")</f>
        <v>CFR</v>
      </c>
      <c r="J30" s="409">
        <f>+IFERROR(INDEX([4]IMPORTS!$S:$S,MATCH($A30,[4]IMPORTS!$C:$C,0)),"")</f>
        <v>125</v>
      </c>
      <c r="K30" s="403">
        <f t="shared" si="1"/>
        <v>62462.5</v>
      </c>
      <c r="L30" s="403">
        <f t="shared" si="4"/>
        <v>68.708750000000009</v>
      </c>
      <c r="M30" s="403">
        <f t="shared" si="5"/>
        <v>62531.208749999998</v>
      </c>
      <c r="N30" s="404">
        <f t="shared" si="6"/>
        <v>1251</v>
      </c>
      <c r="O30" s="404">
        <f t="shared" si="7"/>
        <v>10005</v>
      </c>
      <c r="P30" s="404">
        <f t="shared" si="8"/>
        <v>2583</v>
      </c>
      <c r="Q30" s="463">
        <f t="shared" si="2"/>
        <v>13839</v>
      </c>
      <c r="R30" s="464">
        <v>3.3610000000000002</v>
      </c>
      <c r="S30" s="463">
        <f t="shared" si="3"/>
        <v>46512.879000000001</v>
      </c>
      <c r="T30" s="397" t="s">
        <v>256</v>
      </c>
    </row>
    <row r="31" spans="1:20" ht="15" hidden="1" x14ac:dyDescent="0.25">
      <c r="A31" s="398" t="s">
        <v>1034</v>
      </c>
      <c r="B31" s="398"/>
      <c r="C31" s="399" t="s">
        <v>28</v>
      </c>
      <c r="D31" s="400" t="s">
        <v>17</v>
      </c>
      <c r="E31" s="401" t="s">
        <v>827</v>
      </c>
      <c r="F31" s="408">
        <f>+IFERROR(INDEX([4]IMPORTS!$Y:$Y,MATCH($A31,[4]IMPORTS!$C:$C,0)),"")</f>
        <v>43572</v>
      </c>
      <c r="G31" s="408">
        <f t="shared" si="0"/>
        <v>43570</v>
      </c>
      <c r="H31" s="402">
        <f>+IFERROR(INDEX([4]IMPORTS!$P:$P,MATCH($A31,[4]IMPORTS!$C:$C,0)),"")</f>
        <v>504</v>
      </c>
      <c r="I31" s="408" t="str">
        <f>+IFERROR(INDEX([4]IMPORTS!$R:$R,MATCH($A31,[4]IMPORTS!$C:$C,0)),"")</f>
        <v>CFR</v>
      </c>
      <c r="J31" s="409">
        <f>+IFERROR(INDEX([4]IMPORTS!$S:$S,MATCH($A31,[4]IMPORTS!$C:$C,0)),"")</f>
        <v>257</v>
      </c>
      <c r="K31" s="403">
        <f t="shared" si="1"/>
        <v>129528</v>
      </c>
      <c r="L31" s="403">
        <f t="shared" si="4"/>
        <v>142.48080000000002</v>
      </c>
      <c r="M31" s="403">
        <f t="shared" si="5"/>
        <v>129670.4808</v>
      </c>
      <c r="N31" s="404">
        <f t="shared" si="6"/>
        <v>2593</v>
      </c>
      <c r="O31" s="404">
        <f t="shared" si="7"/>
        <v>20747</v>
      </c>
      <c r="P31" s="404">
        <f t="shared" si="8"/>
        <v>5355</v>
      </c>
      <c r="Q31" s="463">
        <f t="shared" si="2"/>
        <v>28695</v>
      </c>
      <c r="R31" s="464">
        <v>3.3610000000000002</v>
      </c>
      <c r="S31" s="463">
        <f t="shared" si="3"/>
        <v>96443.895000000004</v>
      </c>
      <c r="T31" s="397" t="s">
        <v>256</v>
      </c>
    </row>
    <row r="32" spans="1:20" ht="15" hidden="1" x14ac:dyDescent="0.25">
      <c r="A32" s="398" t="s">
        <v>1123</v>
      </c>
      <c r="B32" s="398"/>
      <c r="C32" s="399" t="s">
        <v>789</v>
      </c>
      <c r="D32" s="400" t="s">
        <v>280</v>
      </c>
      <c r="E32" s="401" t="s">
        <v>829</v>
      </c>
      <c r="F32" s="408">
        <f>+IFERROR(INDEX([4]IMPORTS!$Y:$Y,MATCH($A32,[4]IMPORTS!$C:$C,0)),"")</f>
        <v>43579</v>
      </c>
      <c r="G32" s="408">
        <f t="shared" si="0"/>
        <v>43577</v>
      </c>
      <c r="H32" s="402">
        <f>+IFERROR(INDEX([4]IMPORTS!$P:$P,MATCH($A32,[4]IMPORTS!$C:$C,0)),"")</f>
        <v>162</v>
      </c>
      <c r="I32" s="408" t="str">
        <f>+IFERROR(INDEX([4]IMPORTS!$R:$R,MATCH($A32,[4]IMPORTS!$C:$C,0)),"")</f>
        <v>CFR</v>
      </c>
      <c r="J32" s="409">
        <f>+IFERROR(INDEX([4]IMPORTS!$S:$S,MATCH($A32,[4]IMPORTS!$C:$C,0)),"")</f>
        <v>154</v>
      </c>
      <c r="K32" s="403">
        <f t="shared" si="1"/>
        <v>24948</v>
      </c>
      <c r="L32" s="403">
        <f t="shared" si="4"/>
        <v>27.442800000000002</v>
      </c>
      <c r="M32" s="403">
        <f t="shared" si="5"/>
        <v>24975.442800000001</v>
      </c>
      <c r="N32" s="404">
        <f t="shared" si="6"/>
        <v>500</v>
      </c>
      <c r="O32" s="404">
        <f t="shared" si="7"/>
        <v>3996</v>
      </c>
      <c r="P32" s="404">
        <f t="shared" si="8"/>
        <v>1032</v>
      </c>
      <c r="Q32" s="463">
        <f t="shared" si="2"/>
        <v>5528</v>
      </c>
      <c r="R32" s="464">
        <v>3.3610000000000002</v>
      </c>
      <c r="S32" s="463">
        <f t="shared" si="3"/>
        <v>18579.608</v>
      </c>
      <c r="T32" s="397" t="s">
        <v>256</v>
      </c>
    </row>
    <row r="33" spans="1:20" ht="15" hidden="1" x14ac:dyDescent="0.25">
      <c r="A33" s="398" t="s">
        <v>1031</v>
      </c>
      <c r="B33" s="398"/>
      <c r="C33" s="399" t="s">
        <v>11</v>
      </c>
      <c r="D33" s="400" t="s">
        <v>16</v>
      </c>
      <c r="E33" s="401" t="s">
        <v>828</v>
      </c>
      <c r="F33" s="408">
        <f>+IFERROR(INDEX([4]IMPORTS!$Y:$Y,MATCH($A33,[4]IMPORTS!$C:$C,0)),"")</f>
        <v>43585</v>
      </c>
      <c r="G33" s="408">
        <f t="shared" si="0"/>
        <v>43583</v>
      </c>
      <c r="H33" s="402">
        <f>+IFERROR(INDEX([4]IMPORTS!$P:$P,MATCH($A33,[4]IMPORTS!$C:$C,0)),"")</f>
        <v>200</v>
      </c>
      <c r="I33" s="408" t="str">
        <f>+IFERROR(INDEX([4]IMPORTS!$R:$R,MATCH($A33,[4]IMPORTS!$C:$C,0)),"")</f>
        <v>CFR</v>
      </c>
      <c r="J33" s="409">
        <f>+IFERROR(INDEX([4]IMPORTS!$S:$S,MATCH($A33,[4]IMPORTS!$C:$C,0)),"")</f>
        <v>268</v>
      </c>
      <c r="K33" s="403">
        <f t="shared" si="1"/>
        <v>53600</v>
      </c>
      <c r="L33" s="403">
        <f t="shared" si="4"/>
        <v>58.96</v>
      </c>
      <c r="M33" s="403">
        <f t="shared" si="5"/>
        <v>53658.96</v>
      </c>
      <c r="N33" s="404">
        <f t="shared" si="6"/>
        <v>1073</v>
      </c>
      <c r="O33" s="404">
        <f t="shared" si="7"/>
        <v>8585</v>
      </c>
      <c r="P33" s="404">
        <f t="shared" si="8"/>
        <v>2216</v>
      </c>
      <c r="Q33" s="463">
        <f t="shared" si="2"/>
        <v>11874</v>
      </c>
      <c r="R33" s="464">
        <v>3.3610000000000002</v>
      </c>
      <c r="S33" s="463">
        <f t="shared" si="3"/>
        <v>39908.514000000003</v>
      </c>
      <c r="T33" s="397" t="s">
        <v>256</v>
      </c>
    </row>
    <row r="34" spans="1:20" ht="15" hidden="1" x14ac:dyDescent="0.25">
      <c r="A34" s="398" t="s">
        <v>1095</v>
      </c>
      <c r="B34" s="398"/>
      <c r="C34" s="399" t="s">
        <v>241</v>
      </c>
      <c r="D34" s="400" t="s">
        <v>42</v>
      </c>
      <c r="E34" s="401" t="s">
        <v>828</v>
      </c>
      <c r="F34" s="408">
        <f>+IFERROR(INDEX([4]IMPORTS!$Y:$Y,MATCH($A34,[4]IMPORTS!$C:$C,0)),"")</f>
        <v>43573</v>
      </c>
      <c r="G34" s="408">
        <f t="shared" si="0"/>
        <v>43571</v>
      </c>
      <c r="H34" s="402">
        <f>+IFERROR(INDEX([4]IMPORTS!$P:$P,MATCH($A34,[4]IMPORTS!$C:$C,0)),"")</f>
        <v>111.9</v>
      </c>
      <c r="I34" s="408" t="str">
        <f>+IFERROR(INDEX([4]IMPORTS!$R:$R,MATCH($A34,[4]IMPORTS!$C:$C,0)),"")</f>
        <v>CFR</v>
      </c>
      <c r="J34" s="409">
        <f>+IFERROR(INDEX([4]IMPORTS!$S:$S,MATCH($A34,[4]IMPORTS!$C:$C,0)),"")</f>
        <v>225</v>
      </c>
      <c r="K34" s="403">
        <f t="shared" si="1"/>
        <v>25177.5</v>
      </c>
      <c r="L34" s="403">
        <f t="shared" si="4"/>
        <v>27.695250000000001</v>
      </c>
      <c r="M34" s="403">
        <f t="shared" si="5"/>
        <v>25205.195250000001</v>
      </c>
      <c r="N34" s="404">
        <f t="shared" si="6"/>
        <v>504</v>
      </c>
      <c r="O34" s="404">
        <f t="shared" si="7"/>
        <v>4033</v>
      </c>
      <c r="P34" s="404">
        <f t="shared" si="8"/>
        <v>1041</v>
      </c>
      <c r="Q34" s="463">
        <f t="shared" si="2"/>
        <v>5578</v>
      </c>
      <c r="R34" s="464">
        <v>3.3610000000000002</v>
      </c>
      <c r="S34" s="463">
        <f t="shared" si="3"/>
        <v>18747.657999999999</v>
      </c>
      <c r="T34" s="397" t="s">
        <v>256</v>
      </c>
    </row>
    <row r="35" spans="1:20" ht="15" hidden="1" x14ac:dyDescent="0.25">
      <c r="A35" s="398" t="s">
        <v>1096</v>
      </c>
      <c r="B35" s="398"/>
      <c r="C35" s="399" t="s">
        <v>241</v>
      </c>
      <c r="D35" s="400" t="s">
        <v>42</v>
      </c>
      <c r="E35" s="401" t="s">
        <v>827</v>
      </c>
      <c r="F35" s="408">
        <f>+IFERROR(INDEX([4]IMPORTS!$Y:$Y,MATCH($A35,[4]IMPORTS!$C:$C,0)),"")</f>
        <v>43577</v>
      </c>
      <c r="G35" s="408">
        <f t="shared" si="0"/>
        <v>43575</v>
      </c>
      <c r="H35" s="402">
        <f>+IFERROR(INDEX([4]IMPORTS!$P:$P,MATCH($A35,[4]IMPORTS!$C:$C,0)),"")</f>
        <v>167.8</v>
      </c>
      <c r="I35" s="408" t="str">
        <f>+IFERROR(INDEX([4]IMPORTS!$R:$R,MATCH($A35,[4]IMPORTS!$C:$C,0)),"")</f>
        <v>CFR</v>
      </c>
      <c r="J35" s="409">
        <f>+IFERROR(INDEX([4]IMPORTS!$S:$S,MATCH($A35,[4]IMPORTS!$C:$C,0)),"")</f>
        <v>225</v>
      </c>
      <c r="K35" s="403">
        <f t="shared" si="1"/>
        <v>37755</v>
      </c>
      <c r="L35" s="403">
        <f t="shared" si="4"/>
        <v>41.530500000000004</v>
      </c>
      <c r="M35" s="403">
        <f t="shared" si="5"/>
        <v>37796.530500000001</v>
      </c>
      <c r="N35" s="404">
        <f t="shared" si="6"/>
        <v>756</v>
      </c>
      <c r="O35" s="404">
        <f t="shared" si="7"/>
        <v>6047</v>
      </c>
      <c r="P35" s="404">
        <f t="shared" si="8"/>
        <v>1561</v>
      </c>
      <c r="Q35" s="463">
        <f t="shared" si="2"/>
        <v>8364</v>
      </c>
      <c r="R35" s="464">
        <v>3.3610000000000002</v>
      </c>
      <c r="S35" s="463">
        <f t="shared" si="3"/>
        <v>28111.404000000002</v>
      </c>
      <c r="T35" s="397" t="s">
        <v>256</v>
      </c>
    </row>
    <row r="36" spans="1:20" ht="15" hidden="1" x14ac:dyDescent="0.25">
      <c r="A36" s="398" t="s">
        <v>1101</v>
      </c>
      <c r="B36" s="398"/>
      <c r="C36" s="399" t="s">
        <v>1055</v>
      </c>
      <c r="D36" s="400" t="s">
        <v>42</v>
      </c>
      <c r="E36" s="401" t="s">
        <v>828</v>
      </c>
      <c r="F36" s="408">
        <f>+IFERROR(INDEX([4]IMPORTS!$Y:$Y,MATCH($A36,[4]IMPORTS!$C:$C,0)),"")</f>
        <v>43573</v>
      </c>
      <c r="G36" s="408">
        <f t="shared" si="0"/>
        <v>43571</v>
      </c>
      <c r="H36" s="402">
        <f>+IFERROR(INDEX([4]IMPORTS!$P:$P,MATCH($A36,[4]IMPORTS!$C:$C,0)),"")</f>
        <v>55.86</v>
      </c>
      <c r="I36" s="408" t="str">
        <f>+IFERROR(INDEX([4]IMPORTS!$R:$R,MATCH($A36,[4]IMPORTS!$C:$C,0)),"")</f>
        <v>CFR</v>
      </c>
      <c r="J36" s="409">
        <f>+IFERROR(INDEX([4]IMPORTS!$S:$S,MATCH($A36,[4]IMPORTS!$C:$C,0)),"")</f>
        <v>275</v>
      </c>
      <c r="K36" s="403">
        <f t="shared" si="1"/>
        <v>15361.5</v>
      </c>
      <c r="L36" s="403">
        <f t="shared" si="4"/>
        <v>16.897650000000002</v>
      </c>
      <c r="M36" s="403">
        <f t="shared" si="5"/>
        <v>15378.397650000001</v>
      </c>
      <c r="N36" s="404">
        <f t="shared" si="6"/>
        <v>308</v>
      </c>
      <c r="O36" s="404">
        <f t="shared" si="7"/>
        <v>2461</v>
      </c>
      <c r="P36" s="404">
        <f t="shared" si="8"/>
        <v>635</v>
      </c>
      <c r="Q36" s="463">
        <f t="shared" si="2"/>
        <v>3404</v>
      </c>
      <c r="R36" s="464">
        <v>3.3610000000000002</v>
      </c>
      <c r="S36" s="463">
        <f t="shared" si="3"/>
        <v>11440.844000000001</v>
      </c>
      <c r="T36" s="397" t="s">
        <v>256</v>
      </c>
    </row>
    <row r="37" spans="1:20" ht="15" hidden="1" x14ac:dyDescent="0.25">
      <c r="A37" s="398" t="s">
        <v>1102</v>
      </c>
      <c r="B37" s="398"/>
      <c r="C37" s="399" t="s">
        <v>1055</v>
      </c>
      <c r="D37" s="400" t="s">
        <v>42</v>
      </c>
      <c r="E37" s="401" t="s">
        <v>827</v>
      </c>
      <c r="F37" s="408">
        <f>+IFERROR(INDEX([4]IMPORTS!$Y:$Y,MATCH($A37,[4]IMPORTS!$C:$C,0)),"")</f>
        <v>43577</v>
      </c>
      <c r="G37" s="408">
        <f t="shared" si="0"/>
        <v>43575</v>
      </c>
      <c r="H37" s="402">
        <f>+IFERROR(INDEX([4]IMPORTS!$P:$P,MATCH($A37,[4]IMPORTS!$C:$C,0)),"")</f>
        <v>55.88</v>
      </c>
      <c r="I37" s="408" t="str">
        <f>+IFERROR(INDEX([4]IMPORTS!$R:$R,MATCH($A37,[4]IMPORTS!$C:$C,0)),"")</f>
        <v>CFR</v>
      </c>
      <c r="J37" s="409">
        <f>+IFERROR(INDEX([4]IMPORTS!$S:$S,MATCH($A37,[4]IMPORTS!$C:$C,0)),"")</f>
        <v>275</v>
      </c>
      <c r="K37" s="403">
        <f t="shared" si="1"/>
        <v>15367</v>
      </c>
      <c r="L37" s="403">
        <f t="shared" si="4"/>
        <v>16.903700000000001</v>
      </c>
      <c r="M37" s="403">
        <f t="shared" si="5"/>
        <v>15383.903700000001</v>
      </c>
      <c r="N37" s="404">
        <f t="shared" si="6"/>
        <v>308</v>
      </c>
      <c r="O37" s="404">
        <f t="shared" si="7"/>
        <v>2461</v>
      </c>
      <c r="P37" s="404">
        <f t="shared" si="8"/>
        <v>635</v>
      </c>
      <c r="Q37" s="463">
        <f t="shared" si="2"/>
        <v>3404</v>
      </c>
      <c r="R37" s="464">
        <v>3.3610000000000002</v>
      </c>
      <c r="S37" s="463">
        <f t="shared" si="3"/>
        <v>11440.844000000001</v>
      </c>
      <c r="T37" s="397" t="s">
        <v>256</v>
      </c>
    </row>
    <row r="38" spans="1:20" ht="15" hidden="1" x14ac:dyDescent="0.25">
      <c r="A38" s="398" t="s">
        <v>1065</v>
      </c>
      <c r="B38" s="398"/>
      <c r="C38" s="399" t="s">
        <v>922</v>
      </c>
      <c r="D38" s="400" t="s">
        <v>664</v>
      </c>
      <c r="E38" s="401" t="s">
        <v>828</v>
      </c>
      <c r="F38" s="408">
        <f>+IFERROR(INDEX([4]IMPORTS!$Y:$Y,MATCH($A38,[4]IMPORTS!$C:$C,0)),"")</f>
        <v>43560</v>
      </c>
      <c r="G38" s="408">
        <f t="shared" si="0"/>
        <v>43558</v>
      </c>
      <c r="H38" s="402">
        <f>+IFERROR(INDEX([4]IMPORTS!$P:$P,MATCH($A38,[4]IMPORTS!$C:$C,0)),"")</f>
        <v>52</v>
      </c>
      <c r="I38" s="408" t="str">
        <f>+IFERROR(INDEX([4]IMPORTS!$R:$R,MATCH($A38,[4]IMPORTS!$C:$C,0)),"")</f>
        <v>CFR</v>
      </c>
      <c r="J38" s="409">
        <f>+IFERROR(INDEX([4]IMPORTS!$S:$S,MATCH($A38,[4]IMPORTS!$C:$C,0)),"")</f>
        <v>280</v>
      </c>
      <c r="K38" s="403">
        <f t="shared" si="1"/>
        <v>14560</v>
      </c>
      <c r="L38" s="403">
        <f t="shared" si="4"/>
        <v>16.016000000000002</v>
      </c>
      <c r="M38" s="403">
        <f t="shared" si="5"/>
        <v>14576.016</v>
      </c>
      <c r="N38" s="404">
        <f t="shared" si="6"/>
        <v>292</v>
      </c>
      <c r="O38" s="404">
        <f t="shared" si="7"/>
        <v>2332</v>
      </c>
      <c r="P38" s="404">
        <f t="shared" si="8"/>
        <v>602</v>
      </c>
      <c r="Q38" s="463">
        <f t="shared" si="2"/>
        <v>3226</v>
      </c>
      <c r="R38" s="464">
        <v>3.3610000000000002</v>
      </c>
      <c r="S38" s="463">
        <f t="shared" si="3"/>
        <v>10842.586000000001</v>
      </c>
      <c r="T38" s="397" t="s">
        <v>256</v>
      </c>
    </row>
    <row r="39" spans="1:20" ht="15" hidden="1" x14ac:dyDescent="0.25">
      <c r="A39" s="398" t="s">
        <v>1066</v>
      </c>
      <c r="B39" s="398"/>
      <c r="C39" s="399" t="s">
        <v>922</v>
      </c>
      <c r="D39" s="400" t="s">
        <v>664</v>
      </c>
      <c r="E39" s="401" t="s">
        <v>827</v>
      </c>
      <c r="F39" s="408">
        <f>+IFERROR(INDEX([4]IMPORTS!$Y:$Y,MATCH($A39,[4]IMPORTS!$C:$C,0)),"")</f>
        <v>43570</v>
      </c>
      <c r="G39" s="408">
        <f t="shared" si="0"/>
        <v>43568</v>
      </c>
      <c r="H39" s="402">
        <f>+IFERROR(INDEX([4]IMPORTS!$P:$P,MATCH($A39,[4]IMPORTS!$C:$C,0)),"")</f>
        <v>52</v>
      </c>
      <c r="I39" s="408" t="str">
        <f>+IFERROR(INDEX([4]IMPORTS!$R:$R,MATCH($A39,[4]IMPORTS!$C:$C,0)),"")</f>
        <v>CFR</v>
      </c>
      <c r="J39" s="409">
        <f>+IFERROR(INDEX([4]IMPORTS!$S:$S,MATCH($A39,[4]IMPORTS!$C:$C,0)),"")</f>
        <v>286</v>
      </c>
      <c r="K39" s="403">
        <f t="shared" si="1"/>
        <v>14872</v>
      </c>
      <c r="L39" s="403">
        <f t="shared" si="4"/>
        <v>16.359200000000001</v>
      </c>
      <c r="M39" s="403">
        <f t="shared" si="5"/>
        <v>14888.359200000001</v>
      </c>
      <c r="N39" s="404">
        <f t="shared" si="6"/>
        <v>298</v>
      </c>
      <c r="O39" s="404">
        <f t="shared" si="7"/>
        <v>2382</v>
      </c>
      <c r="P39" s="404">
        <f t="shared" si="8"/>
        <v>615</v>
      </c>
      <c r="Q39" s="463">
        <f t="shared" si="2"/>
        <v>3295</v>
      </c>
      <c r="R39" s="464">
        <v>3.3610000000000002</v>
      </c>
      <c r="S39" s="463">
        <f t="shared" si="3"/>
        <v>11074.495000000001</v>
      </c>
      <c r="T39" s="397" t="s">
        <v>256</v>
      </c>
    </row>
    <row r="40" spans="1:20" ht="15" hidden="1" x14ac:dyDescent="0.25">
      <c r="A40" s="398" t="s">
        <v>1072</v>
      </c>
      <c r="B40" s="398"/>
      <c r="C40" s="399" t="s">
        <v>1082</v>
      </c>
      <c r="D40" s="400" t="s">
        <v>1091</v>
      </c>
      <c r="E40" s="401" t="s">
        <v>828</v>
      </c>
      <c r="F40" s="408">
        <f>+IFERROR(INDEX([4]IMPORTS!$Y:$Y,MATCH($A40,[4]IMPORTS!$C:$C,0)),"")</f>
        <v>43585</v>
      </c>
      <c r="G40" s="408">
        <f t="shared" si="0"/>
        <v>43583</v>
      </c>
      <c r="H40" s="402">
        <f>+IFERROR(INDEX([4]IMPORTS!$P:$P,MATCH($A40,[4]IMPORTS!$C:$C,0)),"")</f>
        <v>0.79200000000000004</v>
      </c>
      <c r="I40" s="408" t="str">
        <f>+IFERROR(INDEX([4]IMPORTS!$R:$R,MATCH($A40,[4]IMPORTS!$C:$C,0)),"")</f>
        <v>CIF</v>
      </c>
      <c r="J40" s="409">
        <f>+IFERROR(INDEX([4]IMPORTS!$S:$S,MATCH($A40,[4]IMPORTS!$C:$C,0)),"")</f>
        <v>18671.229892761392</v>
      </c>
      <c r="K40" s="403">
        <f t="shared" si="1"/>
        <v>14787.614075067024</v>
      </c>
      <c r="L40" s="403">
        <f t="shared" si="4"/>
        <v>16.266375482573729</v>
      </c>
      <c r="M40" s="403">
        <f t="shared" si="5"/>
        <v>14803.880450549597</v>
      </c>
      <c r="N40" s="404">
        <f t="shared" si="6"/>
        <v>296</v>
      </c>
      <c r="O40" s="404">
        <f t="shared" si="7"/>
        <v>2369</v>
      </c>
      <c r="P40" s="404">
        <f t="shared" si="8"/>
        <v>611</v>
      </c>
      <c r="Q40" s="463">
        <f t="shared" si="2"/>
        <v>3276</v>
      </c>
      <c r="R40" s="464">
        <v>3.3610000000000002</v>
      </c>
      <c r="S40" s="463">
        <f t="shared" si="3"/>
        <v>11010.636</v>
      </c>
      <c r="T40" s="397" t="s">
        <v>256</v>
      </c>
    </row>
    <row r="41" spans="1:20" ht="15" hidden="1" x14ac:dyDescent="0.25">
      <c r="A41" s="398" t="s">
        <v>1073</v>
      </c>
      <c r="B41" s="398"/>
      <c r="C41" s="399" t="s">
        <v>1083</v>
      </c>
      <c r="D41" s="400" t="s">
        <v>1091</v>
      </c>
      <c r="E41" s="401" t="s">
        <v>828</v>
      </c>
      <c r="F41" s="408">
        <f>+IFERROR(INDEX([4]IMPORTS!$Y:$Y,MATCH($A41,[4]IMPORTS!$C:$C,0)),"")</f>
        <v>43585</v>
      </c>
      <c r="G41" s="408">
        <f t="shared" si="0"/>
        <v>43583</v>
      </c>
      <c r="H41" s="402">
        <f>+IFERROR(INDEX([4]IMPORTS!$P:$P,MATCH($A41,[4]IMPORTS!$C:$C,0)),"")</f>
        <v>1</v>
      </c>
      <c r="I41" s="408" t="str">
        <f>+IFERROR(INDEX([4]IMPORTS!$R:$R,MATCH($A41,[4]IMPORTS!$C:$C,0)),"")</f>
        <v>CIF</v>
      </c>
      <c r="J41" s="409">
        <f>+IFERROR(INDEX([4]IMPORTS!$S:$S,MATCH($A41,[4]IMPORTS!$C:$C,0)),"")</f>
        <v>17471.229892761396</v>
      </c>
      <c r="K41" s="403">
        <f t="shared" si="1"/>
        <v>17471.229892761396</v>
      </c>
      <c r="L41" s="403">
        <f t="shared" si="4"/>
        <v>19.218352882037536</v>
      </c>
      <c r="M41" s="403">
        <f t="shared" si="5"/>
        <v>17490.448245643434</v>
      </c>
      <c r="N41" s="404">
        <f t="shared" si="6"/>
        <v>350</v>
      </c>
      <c r="O41" s="404">
        <f t="shared" si="7"/>
        <v>2798</v>
      </c>
      <c r="P41" s="404">
        <f t="shared" si="8"/>
        <v>722</v>
      </c>
      <c r="Q41" s="463">
        <f t="shared" si="2"/>
        <v>3870</v>
      </c>
      <c r="R41" s="464">
        <v>3.3610000000000002</v>
      </c>
      <c r="S41" s="463">
        <f t="shared" si="3"/>
        <v>13007.070000000002</v>
      </c>
      <c r="T41" s="397" t="s">
        <v>256</v>
      </c>
    </row>
    <row r="42" spans="1:20" ht="15" hidden="1" x14ac:dyDescent="0.25">
      <c r="A42" s="398" t="s">
        <v>1074</v>
      </c>
      <c r="B42" s="398"/>
      <c r="C42" s="399" t="s">
        <v>1084</v>
      </c>
      <c r="D42" s="400" t="s">
        <v>1091</v>
      </c>
      <c r="E42" s="401" t="s">
        <v>828</v>
      </c>
      <c r="F42" s="408">
        <f>+IFERROR(INDEX([4]IMPORTS!$Y:$Y,MATCH($A42,[4]IMPORTS!$C:$C,0)),"")</f>
        <v>43585</v>
      </c>
      <c r="G42" s="408">
        <f t="shared" si="0"/>
        <v>43583</v>
      </c>
      <c r="H42" s="402">
        <f>+IFERROR(INDEX([4]IMPORTS!$P:$P,MATCH($A42,[4]IMPORTS!$C:$C,0)),"")</f>
        <v>1.2</v>
      </c>
      <c r="I42" s="408" t="str">
        <f>+IFERROR(INDEX([4]IMPORTS!$R:$R,MATCH($A42,[4]IMPORTS!$C:$C,0)),"")</f>
        <v>CIF</v>
      </c>
      <c r="J42" s="409">
        <f>+IFERROR(INDEX([4]IMPORTS!$S:$S,MATCH($A42,[4]IMPORTS!$C:$C,0)),"")</f>
        <v>4721.2298927613938</v>
      </c>
      <c r="K42" s="403">
        <f t="shared" si="1"/>
        <v>5665.4758713136725</v>
      </c>
      <c r="L42" s="403">
        <f t="shared" si="4"/>
        <v>6.23202345844504</v>
      </c>
      <c r="M42" s="403">
        <f t="shared" si="5"/>
        <v>5671.7078947721175</v>
      </c>
      <c r="N42" s="404">
        <f t="shared" si="6"/>
        <v>113</v>
      </c>
      <c r="O42" s="404">
        <f t="shared" si="7"/>
        <v>907</v>
      </c>
      <c r="P42" s="404">
        <f t="shared" si="8"/>
        <v>234</v>
      </c>
      <c r="Q42" s="463">
        <f t="shared" si="2"/>
        <v>1254</v>
      </c>
      <c r="R42" s="464">
        <v>3.3610000000000002</v>
      </c>
      <c r="S42" s="463">
        <f t="shared" si="3"/>
        <v>4214.6940000000004</v>
      </c>
      <c r="T42" s="397" t="s">
        <v>256</v>
      </c>
    </row>
    <row r="43" spans="1:20" ht="15" hidden="1" x14ac:dyDescent="0.25">
      <c r="A43" s="398" t="s">
        <v>1075</v>
      </c>
      <c r="B43" s="398"/>
      <c r="C43" s="399" t="s">
        <v>1085</v>
      </c>
      <c r="D43" s="400" t="s">
        <v>1091</v>
      </c>
      <c r="E43" s="401" t="s">
        <v>828</v>
      </c>
      <c r="F43" s="408">
        <f>+IFERROR(INDEX([4]IMPORTS!$Y:$Y,MATCH($A43,[4]IMPORTS!$C:$C,0)),"")</f>
        <v>43585</v>
      </c>
      <c r="G43" s="408">
        <f t="shared" si="0"/>
        <v>43583</v>
      </c>
      <c r="H43" s="402">
        <f>+IFERROR(INDEX([4]IMPORTS!$P:$P,MATCH($A43,[4]IMPORTS!$C:$C,0)),"")</f>
        <v>0.79200000000000004</v>
      </c>
      <c r="I43" s="408" t="str">
        <f>+IFERROR(INDEX([4]IMPORTS!$R:$R,MATCH($A43,[4]IMPORTS!$C:$C,0)),"")</f>
        <v>CIF</v>
      </c>
      <c r="J43" s="409">
        <f>+IFERROR(INDEX([4]IMPORTS!$S:$S,MATCH($A43,[4]IMPORTS!$C:$C,0)),"")</f>
        <v>6771.2298927613947</v>
      </c>
      <c r="K43" s="403">
        <f t="shared" si="1"/>
        <v>5362.8140750670245</v>
      </c>
      <c r="L43" s="403">
        <f t="shared" si="4"/>
        <v>5.8990954825737276</v>
      </c>
      <c r="M43" s="403">
        <f t="shared" si="5"/>
        <v>5368.7131705495985</v>
      </c>
      <c r="N43" s="404">
        <f t="shared" si="6"/>
        <v>107</v>
      </c>
      <c r="O43" s="404">
        <f t="shared" si="7"/>
        <v>859</v>
      </c>
      <c r="P43" s="404">
        <f t="shared" si="8"/>
        <v>222</v>
      </c>
      <c r="Q43" s="463">
        <f t="shared" si="2"/>
        <v>1188</v>
      </c>
      <c r="R43" s="464">
        <v>3.3610000000000002</v>
      </c>
      <c r="S43" s="463">
        <f t="shared" si="3"/>
        <v>3992.8680000000004</v>
      </c>
      <c r="T43" s="397" t="s">
        <v>256</v>
      </c>
    </row>
    <row r="44" spans="1:20" ht="15" hidden="1" x14ac:dyDescent="0.25">
      <c r="A44" s="398" t="s">
        <v>1076</v>
      </c>
      <c r="B44" s="398"/>
      <c r="C44" s="399" t="s">
        <v>1086</v>
      </c>
      <c r="D44" s="400" t="s">
        <v>1091</v>
      </c>
      <c r="E44" s="401" t="s">
        <v>828</v>
      </c>
      <c r="F44" s="408">
        <f>+IFERROR(INDEX([4]IMPORTS!$Y:$Y,MATCH($A44,[4]IMPORTS!$C:$C,0)),"")</f>
        <v>43585</v>
      </c>
      <c r="G44" s="408">
        <f t="shared" si="0"/>
        <v>43583</v>
      </c>
      <c r="H44" s="402">
        <f>+IFERROR(INDEX([4]IMPORTS!$P:$P,MATCH($A44,[4]IMPORTS!$C:$C,0)),"")</f>
        <v>1</v>
      </c>
      <c r="I44" s="408" t="str">
        <f>+IFERROR(INDEX([4]IMPORTS!$R:$R,MATCH($A44,[4]IMPORTS!$C:$C,0)),"")</f>
        <v>CIF</v>
      </c>
      <c r="J44" s="409">
        <f>+IFERROR(INDEX([4]IMPORTS!$S:$S,MATCH($A44,[4]IMPORTS!$C:$C,0)),"")</f>
        <v>5571.2298927613938</v>
      </c>
      <c r="K44" s="403">
        <f t="shared" si="1"/>
        <v>5571.2298927613938</v>
      </c>
      <c r="L44" s="403">
        <f t="shared" si="4"/>
        <v>6.1283528820375333</v>
      </c>
      <c r="M44" s="403">
        <f t="shared" si="5"/>
        <v>5577.3582456434315</v>
      </c>
      <c r="N44" s="404">
        <f t="shared" si="6"/>
        <v>112</v>
      </c>
      <c r="O44" s="404">
        <f t="shared" si="7"/>
        <v>892</v>
      </c>
      <c r="P44" s="404">
        <f t="shared" si="8"/>
        <v>230</v>
      </c>
      <c r="Q44" s="463">
        <f t="shared" si="2"/>
        <v>1234</v>
      </c>
      <c r="R44" s="464">
        <v>3.3610000000000002</v>
      </c>
      <c r="S44" s="463">
        <f t="shared" si="3"/>
        <v>4147.4740000000002</v>
      </c>
      <c r="T44" s="397" t="s">
        <v>256</v>
      </c>
    </row>
    <row r="45" spans="1:20" ht="15" hidden="1" x14ac:dyDescent="0.25">
      <c r="A45" s="398" t="s">
        <v>1077</v>
      </c>
      <c r="B45" s="398"/>
      <c r="C45" s="399" t="s">
        <v>1087</v>
      </c>
      <c r="D45" s="400" t="s">
        <v>1091</v>
      </c>
      <c r="E45" s="401" t="s">
        <v>828</v>
      </c>
      <c r="F45" s="408">
        <f>+IFERROR(INDEX([4]IMPORTS!$Y:$Y,MATCH($A45,[4]IMPORTS!$C:$C,0)),"")</f>
        <v>43585</v>
      </c>
      <c r="G45" s="408">
        <f t="shared" si="0"/>
        <v>43583</v>
      </c>
      <c r="H45" s="402">
        <f>+IFERROR(INDEX([4]IMPORTS!$P:$P,MATCH($A45,[4]IMPORTS!$C:$C,0)),"")</f>
        <v>1.5840000000000001</v>
      </c>
      <c r="I45" s="408" t="str">
        <f>+IFERROR(INDEX([4]IMPORTS!$R:$R,MATCH($A45,[4]IMPORTS!$C:$C,0)),"")</f>
        <v>CIF</v>
      </c>
      <c r="J45" s="409">
        <f>+IFERROR(INDEX([4]IMPORTS!$S:$S,MATCH($A45,[4]IMPORTS!$C:$C,0)),"")</f>
        <v>48271.229892761388</v>
      </c>
      <c r="K45" s="403">
        <f t="shared" si="1"/>
        <v>76461.628150134042</v>
      </c>
      <c r="L45" s="403">
        <f t="shared" si="4"/>
        <v>84.107790965147444</v>
      </c>
      <c r="M45" s="403">
        <f t="shared" si="5"/>
        <v>76545.735941099192</v>
      </c>
      <c r="N45" s="404">
        <f t="shared" si="6"/>
        <v>1531</v>
      </c>
      <c r="O45" s="404">
        <f t="shared" si="7"/>
        <v>12247</v>
      </c>
      <c r="P45" s="404">
        <f t="shared" si="8"/>
        <v>3161</v>
      </c>
      <c r="Q45" s="463">
        <f t="shared" si="2"/>
        <v>16939</v>
      </c>
      <c r="R45" s="464">
        <v>3.3610000000000002</v>
      </c>
      <c r="S45" s="463">
        <f t="shared" si="3"/>
        <v>56931.979000000007</v>
      </c>
      <c r="T45" s="397" t="s">
        <v>256</v>
      </c>
    </row>
    <row r="46" spans="1:20" ht="15" hidden="1" x14ac:dyDescent="0.25">
      <c r="A46" s="398" t="s">
        <v>1078</v>
      </c>
      <c r="B46" s="398"/>
      <c r="C46" s="399" t="s">
        <v>1088</v>
      </c>
      <c r="D46" s="400" t="s">
        <v>1091</v>
      </c>
      <c r="E46" s="401" t="s">
        <v>828</v>
      </c>
      <c r="F46" s="408">
        <f>+IFERROR(INDEX([4]IMPORTS!$Y:$Y,MATCH($A46,[4]IMPORTS!$C:$C,0)),"")</f>
        <v>43585</v>
      </c>
      <c r="G46" s="408">
        <f t="shared" si="0"/>
        <v>43583</v>
      </c>
      <c r="H46" s="402">
        <f>+IFERROR(INDEX([4]IMPORTS!$P:$P,MATCH($A46,[4]IMPORTS!$C:$C,0)),"")</f>
        <v>0.79200000000000004</v>
      </c>
      <c r="I46" s="408" t="str">
        <f>+IFERROR(INDEX([4]IMPORTS!$R:$R,MATCH($A46,[4]IMPORTS!$C:$C,0)),"")</f>
        <v>CIF</v>
      </c>
      <c r="J46" s="409">
        <f>+IFERROR(INDEX([4]IMPORTS!$S:$S,MATCH($A46,[4]IMPORTS!$C:$C,0)),"")</f>
        <v>21421.229892761392</v>
      </c>
      <c r="K46" s="403">
        <f t="shared" si="1"/>
        <v>16965.614075067024</v>
      </c>
      <c r="L46" s="403">
        <f t="shared" si="4"/>
        <v>18.662175482573726</v>
      </c>
      <c r="M46" s="403">
        <f t="shared" si="5"/>
        <v>16984.276250549596</v>
      </c>
      <c r="N46" s="404">
        <f t="shared" si="6"/>
        <v>340</v>
      </c>
      <c r="O46" s="404">
        <f t="shared" si="7"/>
        <v>2717</v>
      </c>
      <c r="P46" s="404">
        <f t="shared" si="8"/>
        <v>701</v>
      </c>
      <c r="Q46" s="463">
        <f t="shared" si="2"/>
        <v>3758</v>
      </c>
      <c r="R46" s="464">
        <v>3.3610000000000002</v>
      </c>
      <c r="S46" s="463">
        <f t="shared" si="3"/>
        <v>12630.638000000001</v>
      </c>
      <c r="T46" s="397" t="s">
        <v>256</v>
      </c>
    </row>
    <row r="47" spans="1:20" ht="15" hidden="1" x14ac:dyDescent="0.25">
      <c r="A47" s="398" t="s">
        <v>1079</v>
      </c>
      <c r="B47" s="398"/>
      <c r="C47" s="399" t="s">
        <v>1089</v>
      </c>
      <c r="D47" s="400" t="s">
        <v>1091</v>
      </c>
      <c r="E47" s="401" t="s">
        <v>828</v>
      </c>
      <c r="F47" s="408">
        <f>+IFERROR(INDEX([4]IMPORTS!$Y:$Y,MATCH($A47,[4]IMPORTS!$C:$C,0)),"")</f>
        <v>43585</v>
      </c>
      <c r="G47" s="408">
        <f t="shared" si="0"/>
        <v>43583</v>
      </c>
      <c r="H47" s="402">
        <f>+IFERROR(INDEX([4]IMPORTS!$P:$P,MATCH($A47,[4]IMPORTS!$C:$C,0)),"")</f>
        <v>1</v>
      </c>
      <c r="I47" s="408" t="str">
        <f>+IFERROR(INDEX([4]IMPORTS!$R:$R,MATCH($A47,[4]IMPORTS!$C:$C,0)),"")</f>
        <v>CIF</v>
      </c>
      <c r="J47" s="409">
        <f>+IFERROR(INDEX([4]IMPORTS!$S:$S,MATCH($A47,[4]IMPORTS!$C:$C,0)),"")</f>
        <v>20221.229892761396</v>
      </c>
      <c r="K47" s="403">
        <f t="shared" si="1"/>
        <v>20221.229892761396</v>
      </c>
      <c r="L47" s="403">
        <f t="shared" si="4"/>
        <v>22.243352882037538</v>
      </c>
      <c r="M47" s="403">
        <f t="shared" si="5"/>
        <v>20243.473245643432</v>
      </c>
      <c r="N47" s="404">
        <f t="shared" si="6"/>
        <v>405</v>
      </c>
      <c r="O47" s="404">
        <f t="shared" si="7"/>
        <v>3239</v>
      </c>
      <c r="P47" s="404">
        <f t="shared" si="8"/>
        <v>836</v>
      </c>
      <c r="Q47" s="463">
        <f t="shared" si="2"/>
        <v>4480</v>
      </c>
      <c r="R47" s="464">
        <v>3.3610000000000002</v>
      </c>
      <c r="S47" s="463">
        <f t="shared" si="3"/>
        <v>15057.28</v>
      </c>
      <c r="T47" s="397" t="s">
        <v>256</v>
      </c>
    </row>
    <row r="48" spans="1:20" ht="15" hidden="1" x14ac:dyDescent="0.25">
      <c r="A48" s="398" t="s">
        <v>1080</v>
      </c>
      <c r="B48" s="398"/>
      <c r="C48" s="399" t="s">
        <v>1090</v>
      </c>
      <c r="D48" s="400" t="s">
        <v>1091</v>
      </c>
      <c r="E48" s="401" t="s">
        <v>828</v>
      </c>
      <c r="F48" s="408">
        <f>+IFERROR(INDEX([4]IMPORTS!$Y:$Y,MATCH($A48,[4]IMPORTS!$C:$C,0)),"")</f>
        <v>43585</v>
      </c>
      <c r="G48" s="408">
        <f t="shared" si="0"/>
        <v>43583</v>
      </c>
      <c r="H48" s="402">
        <f>+IFERROR(INDEX([4]IMPORTS!$P:$P,MATCH($A48,[4]IMPORTS!$C:$C,0)),"")</f>
        <v>0.79200000000000004</v>
      </c>
      <c r="I48" s="408" t="str">
        <f>+IFERROR(INDEX([4]IMPORTS!$R:$R,MATCH($A48,[4]IMPORTS!$C:$C,0)),"")</f>
        <v>CIF</v>
      </c>
      <c r="J48" s="409">
        <f>+IFERROR(INDEX([4]IMPORTS!$S:$S,MATCH($A48,[4]IMPORTS!$C:$C,0)),"")</f>
        <v>22571.229892761399</v>
      </c>
      <c r="K48" s="403">
        <f t="shared" si="1"/>
        <v>17876.41407506703</v>
      </c>
      <c r="L48" s="403">
        <f t="shared" si="4"/>
        <v>19.664055482573733</v>
      </c>
      <c r="M48" s="403">
        <f t="shared" si="5"/>
        <v>17896.078130549606</v>
      </c>
      <c r="N48" s="404">
        <f t="shared" si="6"/>
        <v>358</v>
      </c>
      <c r="O48" s="404">
        <f t="shared" si="7"/>
        <v>2863</v>
      </c>
      <c r="P48" s="404">
        <f t="shared" si="8"/>
        <v>739</v>
      </c>
      <c r="Q48" s="463">
        <f t="shared" si="2"/>
        <v>3960</v>
      </c>
      <c r="R48" s="464">
        <v>3.3610000000000002</v>
      </c>
      <c r="S48" s="463">
        <f t="shared" si="3"/>
        <v>13309.560000000001</v>
      </c>
      <c r="T48" s="397" t="s">
        <v>256</v>
      </c>
    </row>
    <row r="49" spans="1:20" ht="15" hidden="1" x14ac:dyDescent="0.25">
      <c r="A49" s="398" t="s">
        <v>1035</v>
      </c>
      <c r="B49" s="398"/>
      <c r="C49" s="399" t="s">
        <v>28</v>
      </c>
      <c r="D49" s="400" t="s">
        <v>17</v>
      </c>
      <c r="E49" s="401" t="s">
        <v>827</v>
      </c>
      <c r="F49" s="408">
        <f>+IFERROR(INDEX([4]IMPORTS!$Y:$Y,MATCH($A49,[4]IMPORTS!$C:$C,0)),"")</f>
        <v>43591</v>
      </c>
      <c r="G49" s="408">
        <f t="shared" si="0"/>
        <v>43589</v>
      </c>
      <c r="H49" s="402">
        <f>+IFERROR(INDEX([4]IMPORTS!$P:$P,MATCH($A49,[4]IMPORTS!$C:$C,0)),"")</f>
        <v>504</v>
      </c>
      <c r="I49" s="408" t="str">
        <f>+IFERROR(INDEX([4]IMPORTS!$R:$R,MATCH($A49,[4]IMPORTS!$C:$C,0)),"")</f>
        <v>CFR</v>
      </c>
      <c r="J49" s="409">
        <f>+IFERROR(INDEX([4]IMPORTS!$S:$S,MATCH($A49,[4]IMPORTS!$C:$C,0)),"")</f>
        <v>257</v>
      </c>
      <c r="K49" s="403">
        <f t="shared" si="1"/>
        <v>129528</v>
      </c>
      <c r="L49" s="403">
        <f>+K49*0.11%</f>
        <v>142.48080000000002</v>
      </c>
      <c r="M49" s="403">
        <f>+K49+L49</f>
        <v>129670.4808</v>
      </c>
      <c r="N49" s="404">
        <f>ROUND(M49*2%,0)</f>
        <v>2593</v>
      </c>
      <c r="O49" s="404">
        <f>ROUND(M49*16%,0)</f>
        <v>20747</v>
      </c>
      <c r="P49" s="404">
        <f>ROUND((M49+N49+O49)*3.5%,0)</f>
        <v>5355</v>
      </c>
      <c r="Q49" s="463">
        <f t="shared" si="2"/>
        <v>28695</v>
      </c>
      <c r="R49" s="464">
        <v>3.3610000000000002</v>
      </c>
      <c r="S49" s="463">
        <f t="shared" si="3"/>
        <v>96443.895000000004</v>
      </c>
      <c r="T49" s="397" t="s">
        <v>256</v>
      </c>
    </row>
    <row r="50" spans="1:20" ht="15" hidden="1" x14ac:dyDescent="0.25">
      <c r="A50" s="398" t="s">
        <v>1097</v>
      </c>
      <c r="B50" s="398"/>
      <c r="C50" s="399" t="s">
        <v>241</v>
      </c>
      <c r="D50" s="400" t="s">
        <v>42</v>
      </c>
      <c r="E50" s="401" t="s">
        <v>828</v>
      </c>
      <c r="F50" s="408">
        <f>+IFERROR(INDEX([4]IMPORTS!$Y:$Y,MATCH($A50,[4]IMPORTS!$C:$C,0)),"")</f>
        <v>43588</v>
      </c>
      <c r="G50" s="408">
        <f t="shared" si="0"/>
        <v>43586</v>
      </c>
      <c r="H50" s="402">
        <f>+IFERROR(INDEX([4]IMPORTS!$P:$P,MATCH($A50,[4]IMPORTS!$C:$C,0)),"")</f>
        <v>111.9</v>
      </c>
      <c r="I50" s="408" t="str">
        <f>+IFERROR(INDEX([4]IMPORTS!$R:$R,MATCH($A50,[4]IMPORTS!$C:$C,0)),"")</f>
        <v>CFR</v>
      </c>
      <c r="J50" s="409">
        <f>+IFERROR(INDEX([4]IMPORTS!$S:$S,MATCH($A50,[4]IMPORTS!$C:$C,0)),"")</f>
        <v>225</v>
      </c>
      <c r="K50" s="403">
        <f t="shared" si="1"/>
        <v>25177.5</v>
      </c>
      <c r="L50" s="403">
        <f>+K50*0.11%</f>
        <v>27.695250000000001</v>
      </c>
      <c r="M50" s="403">
        <f>+K50+L50</f>
        <v>25205.195250000001</v>
      </c>
      <c r="N50" s="404">
        <f>ROUND(M50*2%,0)</f>
        <v>504</v>
      </c>
      <c r="O50" s="404">
        <f>ROUND(M50*16%,0)</f>
        <v>4033</v>
      </c>
      <c r="P50" s="404">
        <f>ROUND((M50+N50+O50)*3.5%,0)</f>
        <v>1041</v>
      </c>
      <c r="Q50" s="463">
        <f t="shared" si="2"/>
        <v>5578</v>
      </c>
      <c r="R50" s="464">
        <v>3.3610000000000002</v>
      </c>
      <c r="S50" s="463">
        <f t="shared" si="3"/>
        <v>18747.657999999999</v>
      </c>
      <c r="T50" s="397" t="s">
        <v>256</v>
      </c>
    </row>
    <row r="51" spans="1:20" ht="15" hidden="1" x14ac:dyDescent="0.25">
      <c r="A51" s="398" t="s">
        <v>1098</v>
      </c>
      <c r="B51" s="398"/>
      <c r="C51" s="399" t="s">
        <v>241</v>
      </c>
      <c r="D51" s="400" t="s">
        <v>42</v>
      </c>
      <c r="E51" s="401" t="s">
        <v>827</v>
      </c>
      <c r="F51" s="408">
        <f>+IFERROR(INDEX([4]IMPORTS!$Y:$Y,MATCH($A51,[4]IMPORTS!$C:$C,0)),"")</f>
        <v>43591</v>
      </c>
      <c r="G51" s="408">
        <f t="shared" si="0"/>
        <v>43589</v>
      </c>
      <c r="H51" s="402">
        <f>+IFERROR(INDEX([4]IMPORTS!$P:$P,MATCH($A51,[4]IMPORTS!$C:$C,0)),"")</f>
        <v>139.88</v>
      </c>
      <c r="I51" s="408" t="str">
        <f>+IFERROR(INDEX([4]IMPORTS!$R:$R,MATCH($A51,[4]IMPORTS!$C:$C,0)),"")</f>
        <v>CFR</v>
      </c>
      <c r="J51" s="409">
        <f>+IFERROR(INDEX([4]IMPORTS!$S:$S,MATCH($A51,[4]IMPORTS!$C:$C,0)),"")</f>
        <v>225</v>
      </c>
      <c r="K51" s="403">
        <f t="shared" si="1"/>
        <v>31473</v>
      </c>
      <c r="L51" s="403">
        <f>+K51*0.11%</f>
        <v>34.6203</v>
      </c>
      <c r="M51" s="403">
        <f>+K51+L51</f>
        <v>31507.620299999999</v>
      </c>
      <c r="N51" s="404">
        <f>ROUND(M51*2%,0)</f>
        <v>630</v>
      </c>
      <c r="O51" s="404">
        <f>ROUND(M51*16%,0)</f>
        <v>5041</v>
      </c>
      <c r="P51" s="404">
        <f>ROUND((M51+N51+O51)*3.5%,0)</f>
        <v>1301</v>
      </c>
      <c r="Q51" s="463">
        <f t="shared" si="2"/>
        <v>6972</v>
      </c>
      <c r="R51" s="464">
        <v>3.3610000000000002</v>
      </c>
      <c r="S51" s="463">
        <f t="shared" si="3"/>
        <v>23432.892</v>
      </c>
      <c r="T51" s="397" t="s">
        <v>256</v>
      </c>
    </row>
    <row r="52" spans="1:20" ht="15" hidden="1" x14ac:dyDescent="0.25">
      <c r="A52" s="398" t="s">
        <v>1124</v>
      </c>
      <c r="B52" s="398"/>
      <c r="C52" s="399" t="s">
        <v>789</v>
      </c>
      <c r="D52" s="400" t="s">
        <v>280</v>
      </c>
      <c r="E52" s="401" t="s">
        <v>829</v>
      </c>
      <c r="F52" s="408">
        <f>+IFERROR(INDEX([4]IMPORTS!$Y:$Y,MATCH($A52,[4]IMPORTS!$C:$C,0)),"")</f>
        <v>43593</v>
      </c>
      <c r="G52" s="408">
        <f t="shared" si="0"/>
        <v>43591</v>
      </c>
      <c r="H52" s="402">
        <f>+IFERROR(INDEX([4]IMPORTS!$P:$P,MATCH($A52,[4]IMPORTS!$C:$C,0)),"")</f>
        <v>162</v>
      </c>
      <c r="I52" s="408" t="str">
        <f>+IFERROR(INDEX([4]IMPORTS!$R:$R,MATCH($A52,[4]IMPORTS!$C:$C,0)),"")</f>
        <v>CFR</v>
      </c>
      <c r="J52" s="409">
        <f>+IFERROR(INDEX([4]IMPORTS!$S:$S,MATCH($A52,[4]IMPORTS!$C:$C,0)),"")</f>
        <v>154</v>
      </c>
      <c r="K52" s="403">
        <f t="shared" si="1"/>
        <v>24948</v>
      </c>
      <c r="L52" s="403">
        <f>+K52*0.11%</f>
        <v>27.442800000000002</v>
      </c>
      <c r="M52" s="403">
        <f>+K52+L52</f>
        <v>24975.442800000001</v>
      </c>
      <c r="N52" s="404">
        <f>ROUND(M52*2%,0)</f>
        <v>500</v>
      </c>
      <c r="O52" s="404">
        <f>ROUND(M52*16%,0)</f>
        <v>3996</v>
      </c>
      <c r="P52" s="404">
        <f>ROUND((M52+N52+O52)*3.5%,0)</f>
        <v>1032</v>
      </c>
      <c r="Q52" s="463">
        <f t="shared" si="2"/>
        <v>5528</v>
      </c>
      <c r="R52" s="464">
        <v>3.3610000000000002</v>
      </c>
      <c r="S52" s="463">
        <f t="shared" si="3"/>
        <v>18579.608</v>
      </c>
      <c r="T52" s="397" t="s">
        <v>256</v>
      </c>
    </row>
    <row r="53" spans="1:20" ht="15" hidden="1" x14ac:dyDescent="0.25">
      <c r="A53" s="398" t="s">
        <v>3031</v>
      </c>
      <c r="B53" s="398"/>
      <c r="C53" s="399" t="s">
        <v>3032</v>
      </c>
      <c r="D53" s="400" t="s">
        <v>994</v>
      </c>
      <c r="E53" s="401" t="s">
        <v>828</v>
      </c>
      <c r="F53" s="408">
        <f>+IFERROR(INDEX([4]IMPORTS!$Y:$Y,MATCH($A53,[4]IMPORTS!$C:$C,0)),"")</f>
        <v>43607</v>
      </c>
      <c r="G53" s="408">
        <f t="shared" si="0"/>
        <v>43605</v>
      </c>
      <c r="H53" s="402">
        <f>+IFERROR(INDEX([4]IMPORTS!$P:$P,MATCH($A53,[4]IMPORTS!$C:$C,0)),"")</f>
        <v>1</v>
      </c>
      <c r="I53" s="408" t="str">
        <f>+IFERROR(INDEX([4]IMPORTS!$R:$R,MATCH($A53,[4]IMPORTS!$C:$C,0)),"")</f>
        <v>CIF</v>
      </c>
      <c r="J53" s="409">
        <f>+IFERROR(INDEX([4]IMPORTS!$S:$S,MATCH($A53,[4]IMPORTS!$C:$C,0)),"")</f>
        <v>6370</v>
      </c>
      <c r="K53" s="403">
        <f t="shared" si="1"/>
        <v>6370</v>
      </c>
      <c r="L53" s="403">
        <f t="shared" ref="L53:L116" si="9">+K53*0.11%</f>
        <v>7.0070000000000006</v>
      </c>
      <c r="M53" s="403">
        <f t="shared" ref="M53:M116" si="10">+K53+L53</f>
        <v>6377.0069999999996</v>
      </c>
      <c r="N53" s="404">
        <f t="shared" ref="N53:N116" si="11">ROUND(M53*2%,0)</f>
        <v>128</v>
      </c>
      <c r="O53" s="404">
        <f t="shared" ref="O53:O116" si="12">ROUND(M53*16%,0)</f>
        <v>1020</v>
      </c>
      <c r="P53" s="404">
        <f t="shared" ref="P53:P116" si="13">ROUND((M53+N53+O53)*3.5%,0)</f>
        <v>263</v>
      </c>
      <c r="Q53" s="463">
        <f t="shared" si="2"/>
        <v>1411</v>
      </c>
      <c r="R53" s="464">
        <v>3.3610000000000002</v>
      </c>
      <c r="S53" s="463">
        <f t="shared" si="3"/>
        <v>4742.3710000000001</v>
      </c>
      <c r="T53" s="397" t="s">
        <v>256</v>
      </c>
    </row>
    <row r="54" spans="1:20" ht="15" hidden="1" x14ac:dyDescent="0.25">
      <c r="A54" s="398" t="s">
        <v>3033</v>
      </c>
      <c r="B54" s="398"/>
      <c r="C54" s="399" t="s">
        <v>3034</v>
      </c>
      <c r="D54" s="400" t="s">
        <v>994</v>
      </c>
      <c r="E54" s="401" t="s">
        <v>828</v>
      </c>
      <c r="F54" s="408">
        <f>+IFERROR(INDEX([4]IMPORTS!$Y:$Y,MATCH($A54,[4]IMPORTS!$C:$C,0)),"")</f>
        <v>43607</v>
      </c>
      <c r="G54" s="408">
        <f t="shared" si="0"/>
        <v>43605</v>
      </c>
      <c r="H54" s="402">
        <f>+IFERROR(INDEX([4]IMPORTS!$P:$P,MATCH($A54,[4]IMPORTS!$C:$C,0)),"")</f>
        <v>0.25</v>
      </c>
      <c r="I54" s="408" t="str">
        <f>+IFERROR(INDEX([4]IMPORTS!$R:$R,MATCH($A54,[4]IMPORTS!$C:$C,0)),"")</f>
        <v>CIF</v>
      </c>
      <c r="J54" s="409">
        <f>+IFERROR(INDEX([4]IMPORTS!$S:$S,MATCH($A54,[4]IMPORTS!$C:$C,0)),"")</f>
        <v>7210</v>
      </c>
      <c r="K54" s="403">
        <f t="shared" si="1"/>
        <v>1802.5</v>
      </c>
      <c r="L54" s="403">
        <f t="shared" si="9"/>
        <v>1.98275</v>
      </c>
      <c r="M54" s="403">
        <f t="shared" si="10"/>
        <v>1804.4827499999999</v>
      </c>
      <c r="N54" s="404">
        <f t="shared" si="11"/>
        <v>36</v>
      </c>
      <c r="O54" s="404">
        <f t="shared" si="12"/>
        <v>289</v>
      </c>
      <c r="P54" s="404">
        <f t="shared" si="13"/>
        <v>75</v>
      </c>
      <c r="Q54" s="463">
        <f t="shared" si="2"/>
        <v>400</v>
      </c>
      <c r="R54" s="464">
        <v>3.3610000000000002</v>
      </c>
      <c r="S54" s="463">
        <f t="shared" si="3"/>
        <v>1344.4</v>
      </c>
      <c r="T54" s="397" t="s">
        <v>256</v>
      </c>
    </row>
    <row r="55" spans="1:20" ht="15" hidden="1" x14ac:dyDescent="0.25">
      <c r="A55" s="398" t="s">
        <v>3035</v>
      </c>
      <c r="B55" s="398"/>
      <c r="C55" s="399" t="s">
        <v>3036</v>
      </c>
      <c r="D55" s="400" t="s">
        <v>994</v>
      </c>
      <c r="E55" s="401" t="s">
        <v>828</v>
      </c>
      <c r="F55" s="408">
        <f>+IFERROR(INDEX([4]IMPORTS!$Y:$Y,MATCH($A55,[4]IMPORTS!$C:$C,0)),"")</f>
        <v>43607</v>
      </c>
      <c r="G55" s="408">
        <f t="shared" si="0"/>
        <v>43605</v>
      </c>
      <c r="H55" s="402">
        <f>+IFERROR(INDEX([4]IMPORTS!$P:$P,MATCH($A55,[4]IMPORTS!$C:$C,0)),"")</f>
        <v>1.5</v>
      </c>
      <c r="I55" s="408" t="str">
        <f>+IFERROR(INDEX([4]IMPORTS!$R:$R,MATCH($A55,[4]IMPORTS!$C:$C,0)),"")</f>
        <v>CIF</v>
      </c>
      <c r="J55" s="409">
        <f>+IFERROR(INDEX([4]IMPORTS!$S:$S,MATCH($A55,[4]IMPORTS!$C:$C,0)),"")</f>
        <v>15200</v>
      </c>
      <c r="K55" s="403">
        <f t="shared" si="1"/>
        <v>22800</v>
      </c>
      <c r="L55" s="403">
        <f t="shared" si="9"/>
        <v>25.080000000000002</v>
      </c>
      <c r="M55" s="403">
        <f t="shared" si="10"/>
        <v>22825.08</v>
      </c>
      <c r="N55" s="404">
        <f t="shared" si="11"/>
        <v>457</v>
      </c>
      <c r="O55" s="404">
        <f t="shared" si="12"/>
        <v>3652</v>
      </c>
      <c r="P55" s="404">
        <f t="shared" si="13"/>
        <v>943</v>
      </c>
      <c r="Q55" s="463">
        <f t="shared" si="2"/>
        <v>5052</v>
      </c>
      <c r="R55" s="464">
        <v>3.3610000000000002</v>
      </c>
      <c r="S55" s="463">
        <f t="shared" si="3"/>
        <v>16979.772000000001</v>
      </c>
      <c r="T55" s="397" t="s">
        <v>256</v>
      </c>
    </row>
    <row r="56" spans="1:20" ht="15" hidden="1" x14ac:dyDescent="0.25">
      <c r="A56" s="398" t="s">
        <v>3037</v>
      </c>
      <c r="B56" s="398"/>
      <c r="C56" s="399" t="s">
        <v>3038</v>
      </c>
      <c r="D56" s="400" t="s">
        <v>994</v>
      </c>
      <c r="E56" s="401" t="s">
        <v>828</v>
      </c>
      <c r="F56" s="408">
        <f>+IFERROR(INDEX([4]IMPORTS!$Y:$Y,MATCH($A56,[4]IMPORTS!$C:$C,0)),"")</f>
        <v>43607</v>
      </c>
      <c r="G56" s="408">
        <f t="shared" si="0"/>
        <v>43605</v>
      </c>
      <c r="H56" s="402">
        <f>+IFERROR(INDEX([4]IMPORTS!$P:$P,MATCH($A56,[4]IMPORTS!$C:$C,0)),"")</f>
        <v>2.5</v>
      </c>
      <c r="I56" s="408" t="str">
        <f>+IFERROR(INDEX([4]IMPORTS!$R:$R,MATCH($A56,[4]IMPORTS!$C:$C,0)),"")</f>
        <v>CIF</v>
      </c>
      <c r="J56" s="409">
        <f>+IFERROR(INDEX([4]IMPORTS!$S:$S,MATCH($A56,[4]IMPORTS!$C:$C,0)),"")</f>
        <v>13820</v>
      </c>
      <c r="K56" s="403">
        <f t="shared" si="1"/>
        <v>34550</v>
      </c>
      <c r="L56" s="403">
        <f t="shared" si="9"/>
        <v>38.005000000000003</v>
      </c>
      <c r="M56" s="403">
        <f t="shared" si="10"/>
        <v>34588.004999999997</v>
      </c>
      <c r="N56" s="404">
        <f t="shared" si="11"/>
        <v>692</v>
      </c>
      <c r="O56" s="404">
        <f t="shared" si="12"/>
        <v>5534</v>
      </c>
      <c r="P56" s="404">
        <f t="shared" si="13"/>
        <v>1428</v>
      </c>
      <c r="Q56" s="463">
        <f t="shared" si="2"/>
        <v>7654</v>
      </c>
      <c r="R56" s="464">
        <v>3.3610000000000002</v>
      </c>
      <c r="S56" s="463">
        <f t="shared" si="3"/>
        <v>25725.094000000001</v>
      </c>
      <c r="T56" s="397" t="s">
        <v>256</v>
      </c>
    </row>
    <row r="57" spans="1:20" ht="15" hidden="1" x14ac:dyDescent="0.25">
      <c r="A57" s="398" t="s">
        <v>3039</v>
      </c>
      <c r="B57" s="398"/>
      <c r="C57" s="399" t="s">
        <v>3040</v>
      </c>
      <c r="D57" s="400" t="s">
        <v>994</v>
      </c>
      <c r="E57" s="401" t="s">
        <v>828</v>
      </c>
      <c r="F57" s="408">
        <f>+IFERROR(INDEX([4]IMPORTS!$Y:$Y,MATCH($A57,[4]IMPORTS!$C:$C,0)),"")</f>
        <v>43607</v>
      </c>
      <c r="G57" s="408">
        <f t="shared" si="0"/>
        <v>43605</v>
      </c>
      <c r="H57" s="402">
        <f>+IFERROR(INDEX([4]IMPORTS!$P:$P,MATCH($A57,[4]IMPORTS!$C:$C,0)),"")</f>
        <v>0.25</v>
      </c>
      <c r="I57" s="408" t="str">
        <f>+IFERROR(INDEX([4]IMPORTS!$R:$R,MATCH($A57,[4]IMPORTS!$C:$C,0)),"")</f>
        <v>CIF</v>
      </c>
      <c r="J57" s="409">
        <f>+IFERROR(INDEX([4]IMPORTS!$S:$S,MATCH($A57,[4]IMPORTS!$C:$C,0)),"")</f>
        <v>16190.000000000002</v>
      </c>
      <c r="K57" s="403">
        <f t="shared" si="1"/>
        <v>4047.5000000000005</v>
      </c>
      <c r="L57" s="403">
        <f t="shared" si="9"/>
        <v>4.4522500000000012</v>
      </c>
      <c r="M57" s="403">
        <f t="shared" si="10"/>
        <v>4051.9522500000003</v>
      </c>
      <c r="N57" s="404">
        <f t="shared" si="11"/>
        <v>81</v>
      </c>
      <c r="O57" s="404">
        <f t="shared" si="12"/>
        <v>648</v>
      </c>
      <c r="P57" s="404">
        <f t="shared" si="13"/>
        <v>167</v>
      </c>
      <c r="Q57" s="463">
        <f t="shared" si="2"/>
        <v>896</v>
      </c>
      <c r="R57" s="464">
        <v>3.3610000000000002</v>
      </c>
      <c r="S57" s="463">
        <f t="shared" si="3"/>
        <v>3011.4560000000001</v>
      </c>
      <c r="T57" s="397" t="s">
        <v>256</v>
      </c>
    </row>
    <row r="58" spans="1:20" ht="15" hidden="1" x14ac:dyDescent="0.25">
      <c r="A58" s="398" t="s">
        <v>3041</v>
      </c>
      <c r="B58" s="398"/>
      <c r="C58" s="399" t="s">
        <v>3042</v>
      </c>
      <c r="D58" s="400" t="s">
        <v>994</v>
      </c>
      <c r="E58" s="401" t="s">
        <v>828</v>
      </c>
      <c r="F58" s="408">
        <f>+IFERROR(INDEX([4]IMPORTS!$Y:$Y,MATCH($A58,[4]IMPORTS!$C:$C,0)),"")</f>
        <v>43607</v>
      </c>
      <c r="G58" s="408">
        <f t="shared" si="0"/>
        <v>43605</v>
      </c>
      <c r="H58" s="402">
        <f>+IFERROR(INDEX([4]IMPORTS!$P:$P,MATCH($A58,[4]IMPORTS!$C:$C,0)),"")</f>
        <v>0.6</v>
      </c>
      <c r="I58" s="408" t="str">
        <f>+IFERROR(INDEX([4]IMPORTS!$R:$R,MATCH($A58,[4]IMPORTS!$C:$C,0)),"")</f>
        <v>CIF</v>
      </c>
      <c r="J58" s="409">
        <f>+IFERROR(INDEX([4]IMPORTS!$S:$S,MATCH($A58,[4]IMPORTS!$C:$C,0)),"")</f>
        <v>13500</v>
      </c>
      <c r="K58" s="403">
        <f t="shared" si="1"/>
        <v>8100</v>
      </c>
      <c r="L58" s="403">
        <f t="shared" si="9"/>
        <v>8.91</v>
      </c>
      <c r="M58" s="403">
        <f t="shared" si="10"/>
        <v>8108.91</v>
      </c>
      <c r="N58" s="404">
        <f t="shared" si="11"/>
        <v>162</v>
      </c>
      <c r="O58" s="404">
        <f t="shared" si="12"/>
        <v>1297</v>
      </c>
      <c r="P58" s="404">
        <f t="shared" si="13"/>
        <v>335</v>
      </c>
      <c r="Q58" s="463">
        <f t="shared" si="2"/>
        <v>1794</v>
      </c>
      <c r="R58" s="464">
        <v>3.3610000000000002</v>
      </c>
      <c r="S58" s="463">
        <f t="shared" si="3"/>
        <v>6029.634</v>
      </c>
      <c r="T58" s="397" t="s">
        <v>256</v>
      </c>
    </row>
    <row r="59" spans="1:20" ht="15" hidden="1" x14ac:dyDescent="0.25">
      <c r="A59" s="398" t="s">
        <v>3043</v>
      </c>
      <c r="B59" s="398"/>
      <c r="C59" s="399" t="s">
        <v>3044</v>
      </c>
      <c r="D59" s="400" t="s">
        <v>994</v>
      </c>
      <c r="E59" s="401" t="s">
        <v>828</v>
      </c>
      <c r="F59" s="408">
        <f>+IFERROR(INDEX([4]IMPORTS!$Y:$Y,MATCH($A59,[4]IMPORTS!$C:$C,0)),"")</f>
        <v>43607</v>
      </c>
      <c r="G59" s="408">
        <f t="shared" si="0"/>
        <v>43605</v>
      </c>
      <c r="H59" s="402">
        <f>+IFERROR(INDEX([4]IMPORTS!$P:$P,MATCH($A59,[4]IMPORTS!$C:$C,0)),"")</f>
        <v>2</v>
      </c>
      <c r="I59" s="408" t="str">
        <f>+IFERROR(INDEX([4]IMPORTS!$R:$R,MATCH($A59,[4]IMPORTS!$C:$C,0)),"")</f>
        <v>CIF</v>
      </c>
      <c r="J59" s="409">
        <f>+IFERROR(INDEX([4]IMPORTS!$S:$S,MATCH($A59,[4]IMPORTS!$C:$C,0)),"")</f>
        <v>9960</v>
      </c>
      <c r="K59" s="403">
        <f t="shared" si="1"/>
        <v>19920</v>
      </c>
      <c r="L59" s="403">
        <f t="shared" si="9"/>
        <v>21.912000000000003</v>
      </c>
      <c r="M59" s="403">
        <f t="shared" si="10"/>
        <v>19941.912</v>
      </c>
      <c r="N59" s="404">
        <f t="shared" si="11"/>
        <v>399</v>
      </c>
      <c r="O59" s="404">
        <f t="shared" si="12"/>
        <v>3191</v>
      </c>
      <c r="P59" s="404">
        <f t="shared" si="13"/>
        <v>824</v>
      </c>
      <c r="Q59" s="463">
        <f t="shared" si="2"/>
        <v>4414</v>
      </c>
      <c r="R59" s="464">
        <v>3.3610000000000002</v>
      </c>
      <c r="S59" s="463">
        <f t="shared" si="3"/>
        <v>14835.454000000002</v>
      </c>
      <c r="T59" s="397" t="s">
        <v>256</v>
      </c>
    </row>
    <row r="60" spans="1:20" ht="15" hidden="1" x14ac:dyDescent="0.25">
      <c r="A60" s="398" t="s">
        <v>3045</v>
      </c>
      <c r="B60" s="398"/>
      <c r="C60" s="399" t="s">
        <v>3046</v>
      </c>
      <c r="D60" s="400" t="s">
        <v>994</v>
      </c>
      <c r="E60" s="401" t="s">
        <v>828</v>
      </c>
      <c r="F60" s="408">
        <f>+IFERROR(INDEX([4]IMPORTS!$Y:$Y,MATCH($A60,[4]IMPORTS!$C:$C,0)),"")</f>
        <v>43607</v>
      </c>
      <c r="G60" s="408">
        <f t="shared" si="0"/>
        <v>43605</v>
      </c>
      <c r="H60" s="402">
        <f>+IFERROR(INDEX([4]IMPORTS!$P:$P,MATCH($A60,[4]IMPORTS!$C:$C,0)),"")</f>
        <v>2</v>
      </c>
      <c r="I60" s="408" t="str">
        <f>+IFERROR(INDEX([4]IMPORTS!$R:$R,MATCH($A60,[4]IMPORTS!$C:$C,0)),"")</f>
        <v>CIF</v>
      </c>
      <c r="J60" s="409">
        <f>+IFERROR(INDEX([4]IMPORTS!$S:$S,MATCH($A60,[4]IMPORTS!$C:$C,0)),"")</f>
        <v>11770</v>
      </c>
      <c r="K60" s="403">
        <f t="shared" si="1"/>
        <v>23540</v>
      </c>
      <c r="L60" s="403">
        <f t="shared" si="9"/>
        <v>25.894000000000002</v>
      </c>
      <c r="M60" s="403">
        <f t="shared" si="10"/>
        <v>23565.894</v>
      </c>
      <c r="N60" s="404">
        <f t="shared" si="11"/>
        <v>471</v>
      </c>
      <c r="O60" s="404">
        <f t="shared" si="12"/>
        <v>3771</v>
      </c>
      <c r="P60" s="404">
        <f t="shared" si="13"/>
        <v>973</v>
      </c>
      <c r="Q60" s="463">
        <f t="shared" si="2"/>
        <v>5215</v>
      </c>
      <c r="R60" s="464">
        <v>3.3610000000000002</v>
      </c>
      <c r="S60" s="463">
        <f t="shared" si="3"/>
        <v>17527.615000000002</v>
      </c>
      <c r="T60" s="397" t="s">
        <v>256</v>
      </c>
    </row>
    <row r="61" spans="1:20" ht="15" hidden="1" x14ac:dyDescent="0.25">
      <c r="A61" s="398" t="s">
        <v>3047</v>
      </c>
      <c r="B61" s="398"/>
      <c r="C61" s="399" t="s">
        <v>3048</v>
      </c>
      <c r="D61" s="400" t="s">
        <v>994</v>
      </c>
      <c r="E61" s="401" t="s">
        <v>828</v>
      </c>
      <c r="F61" s="408">
        <f>+IFERROR(INDEX([4]IMPORTS!$Y:$Y,MATCH($A61,[4]IMPORTS!$C:$C,0)),"")</f>
        <v>43607</v>
      </c>
      <c r="G61" s="408">
        <f t="shared" si="0"/>
        <v>43605</v>
      </c>
      <c r="H61" s="402">
        <f>+IFERROR(INDEX([4]IMPORTS!$P:$P,MATCH($A61,[4]IMPORTS!$C:$C,0)),"")</f>
        <v>0.25</v>
      </c>
      <c r="I61" s="408" t="str">
        <f>+IFERROR(INDEX([4]IMPORTS!$R:$R,MATCH($A61,[4]IMPORTS!$C:$C,0)),"")</f>
        <v>CIF</v>
      </c>
      <c r="J61" s="409">
        <f>+IFERROR(INDEX([4]IMPORTS!$S:$S,MATCH($A61,[4]IMPORTS!$C:$C,0)),"")</f>
        <v>11250</v>
      </c>
      <c r="K61" s="403">
        <f t="shared" si="1"/>
        <v>2812.5</v>
      </c>
      <c r="L61" s="403">
        <f t="shared" si="9"/>
        <v>3.09375</v>
      </c>
      <c r="M61" s="403">
        <f t="shared" si="10"/>
        <v>2815.59375</v>
      </c>
      <c r="N61" s="404">
        <f t="shared" si="11"/>
        <v>56</v>
      </c>
      <c r="O61" s="404">
        <f t="shared" si="12"/>
        <v>450</v>
      </c>
      <c r="P61" s="404">
        <f t="shared" si="13"/>
        <v>116</v>
      </c>
      <c r="Q61" s="463">
        <f t="shared" si="2"/>
        <v>622</v>
      </c>
      <c r="R61" s="464">
        <v>3.3610000000000002</v>
      </c>
      <c r="S61" s="463">
        <f t="shared" si="3"/>
        <v>2090.5419999999999</v>
      </c>
      <c r="T61" s="397" t="s">
        <v>256</v>
      </c>
    </row>
    <row r="62" spans="1:20" ht="15" hidden="1" x14ac:dyDescent="0.25">
      <c r="A62" s="398" t="s">
        <v>3049</v>
      </c>
      <c r="B62" s="398"/>
      <c r="C62" s="399" t="s">
        <v>3050</v>
      </c>
      <c r="D62" s="400" t="s">
        <v>994</v>
      </c>
      <c r="E62" s="401" t="s">
        <v>828</v>
      </c>
      <c r="F62" s="408">
        <f>+IFERROR(INDEX([4]IMPORTS!$Y:$Y,MATCH($A62,[4]IMPORTS!$C:$C,0)),"")</f>
        <v>43607</v>
      </c>
      <c r="G62" s="408">
        <f t="shared" si="0"/>
        <v>43605</v>
      </c>
      <c r="H62" s="402">
        <f>+IFERROR(INDEX([4]IMPORTS!$P:$P,MATCH($A62,[4]IMPORTS!$C:$C,0)),"")</f>
        <v>0.2</v>
      </c>
      <c r="I62" s="408" t="str">
        <f>+IFERROR(INDEX([4]IMPORTS!$R:$R,MATCH($A62,[4]IMPORTS!$C:$C,0)),"")</f>
        <v>CIF</v>
      </c>
      <c r="J62" s="409">
        <f>+IFERROR(INDEX([4]IMPORTS!$S:$S,MATCH($A62,[4]IMPORTS!$C:$C,0)),"")</f>
        <v>39799.999999999993</v>
      </c>
      <c r="K62" s="403">
        <f t="shared" si="1"/>
        <v>7959.9999999999991</v>
      </c>
      <c r="L62" s="403">
        <f t="shared" si="9"/>
        <v>8.7560000000000002</v>
      </c>
      <c r="M62" s="403">
        <f t="shared" si="10"/>
        <v>7968.7559999999994</v>
      </c>
      <c r="N62" s="404">
        <f t="shared" si="11"/>
        <v>159</v>
      </c>
      <c r="O62" s="404">
        <f t="shared" si="12"/>
        <v>1275</v>
      </c>
      <c r="P62" s="404">
        <f t="shared" si="13"/>
        <v>329</v>
      </c>
      <c r="Q62" s="463">
        <f t="shared" si="2"/>
        <v>1763</v>
      </c>
      <c r="R62" s="464">
        <v>3.3610000000000002</v>
      </c>
      <c r="S62" s="463">
        <f t="shared" si="3"/>
        <v>5925.4430000000002</v>
      </c>
      <c r="T62" s="397" t="s">
        <v>256</v>
      </c>
    </row>
    <row r="63" spans="1:20" ht="15" hidden="1" x14ac:dyDescent="0.25">
      <c r="A63" s="398" t="s">
        <v>3051</v>
      </c>
      <c r="B63" s="398"/>
      <c r="C63" s="399" t="s">
        <v>3052</v>
      </c>
      <c r="D63" s="400" t="s">
        <v>994</v>
      </c>
      <c r="E63" s="401" t="s">
        <v>828</v>
      </c>
      <c r="F63" s="408">
        <f>+IFERROR(INDEX([4]IMPORTS!$Y:$Y,MATCH($A63,[4]IMPORTS!$C:$C,0)),"")</f>
        <v>43607</v>
      </c>
      <c r="G63" s="408">
        <f t="shared" si="0"/>
        <v>43605</v>
      </c>
      <c r="H63" s="402">
        <f>+IFERROR(INDEX([4]IMPORTS!$P:$P,MATCH($A63,[4]IMPORTS!$C:$C,0)),"")</f>
        <v>2</v>
      </c>
      <c r="I63" s="408" t="str">
        <f>+IFERROR(INDEX([4]IMPORTS!$R:$R,MATCH($A63,[4]IMPORTS!$C:$C,0)),"")</f>
        <v>CIF</v>
      </c>
      <c r="J63" s="409">
        <f>+IFERROR(INDEX([4]IMPORTS!$S:$S,MATCH($A63,[4]IMPORTS!$C:$C,0)),"")</f>
        <v>20300</v>
      </c>
      <c r="K63" s="403">
        <f t="shared" si="1"/>
        <v>40600</v>
      </c>
      <c r="L63" s="403">
        <f t="shared" si="9"/>
        <v>44.660000000000004</v>
      </c>
      <c r="M63" s="403">
        <f t="shared" si="10"/>
        <v>40644.660000000003</v>
      </c>
      <c r="N63" s="404">
        <f t="shared" si="11"/>
        <v>813</v>
      </c>
      <c r="O63" s="404">
        <f t="shared" si="12"/>
        <v>6503</v>
      </c>
      <c r="P63" s="404">
        <f t="shared" si="13"/>
        <v>1679</v>
      </c>
      <c r="Q63" s="463">
        <f t="shared" si="2"/>
        <v>8995</v>
      </c>
      <c r="R63" s="464">
        <v>3.3610000000000002</v>
      </c>
      <c r="S63" s="463">
        <f t="shared" si="3"/>
        <v>30232.195000000003</v>
      </c>
      <c r="T63" s="397" t="s">
        <v>256</v>
      </c>
    </row>
    <row r="64" spans="1:20" ht="15" hidden="1" x14ac:dyDescent="0.25">
      <c r="A64" s="398" t="s">
        <v>3053</v>
      </c>
      <c r="B64" s="398"/>
      <c r="C64" s="399" t="s">
        <v>3054</v>
      </c>
      <c r="D64" s="400" t="s">
        <v>994</v>
      </c>
      <c r="E64" s="401" t="s">
        <v>828</v>
      </c>
      <c r="F64" s="408">
        <f>+IFERROR(INDEX([4]IMPORTS!$Y:$Y,MATCH($A64,[4]IMPORTS!$C:$C,0)),"")</f>
        <v>43607</v>
      </c>
      <c r="G64" s="408">
        <f t="shared" si="0"/>
        <v>43605</v>
      </c>
      <c r="H64" s="402">
        <f>+IFERROR(INDEX([4]IMPORTS!$P:$P,MATCH($A64,[4]IMPORTS!$C:$C,0)),"")</f>
        <v>1</v>
      </c>
      <c r="I64" s="408" t="str">
        <f>+IFERROR(INDEX([4]IMPORTS!$R:$R,MATCH($A64,[4]IMPORTS!$C:$C,0)),"")</f>
        <v>CIF</v>
      </c>
      <c r="J64" s="409">
        <f>+IFERROR(INDEX([4]IMPORTS!$S:$S,MATCH($A64,[4]IMPORTS!$C:$C,0)),"")</f>
        <v>19900</v>
      </c>
      <c r="K64" s="403">
        <f t="shared" si="1"/>
        <v>19900</v>
      </c>
      <c r="L64" s="403">
        <f t="shared" si="9"/>
        <v>21.89</v>
      </c>
      <c r="M64" s="403">
        <f t="shared" si="10"/>
        <v>19921.89</v>
      </c>
      <c r="N64" s="404">
        <f t="shared" si="11"/>
        <v>398</v>
      </c>
      <c r="O64" s="404">
        <f t="shared" si="12"/>
        <v>3188</v>
      </c>
      <c r="P64" s="404">
        <f t="shared" si="13"/>
        <v>823</v>
      </c>
      <c r="Q64" s="463">
        <f t="shared" si="2"/>
        <v>4409</v>
      </c>
      <c r="R64" s="464">
        <v>3.3610000000000002</v>
      </c>
      <c r="S64" s="463">
        <f t="shared" si="3"/>
        <v>14818.649000000001</v>
      </c>
      <c r="T64" s="397" t="s">
        <v>256</v>
      </c>
    </row>
    <row r="65" spans="1:20" ht="15" hidden="1" x14ac:dyDescent="0.25">
      <c r="A65" s="398" t="s">
        <v>3055</v>
      </c>
      <c r="B65" s="398"/>
      <c r="C65" s="399" t="s">
        <v>3056</v>
      </c>
      <c r="D65" s="400" t="s">
        <v>994</v>
      </c>
      <c r="E65" s="401" t="s">
        <v>828</v>
      </c>
      <c r="F65" s="408">
        <f>+IFERROR(INDEX([4]IMPORTS!$Y:$Y,MATCH($A65,[4]IMPORTS!$C:$C,0)),"")</f>
        <v>43607</v>
      </c>
      <c r="G65" s="408">
        <f t="shared" si="0"/>
        <v>43605</v>
      </c>
      <c r="H65" s="402">
        <f>+IFERROR(INDEX([4]IMPORTS!$P:$P,MATCH($A65,[4]IMPORTS!$C:$C,0)),"")</f>
        <v>1</v>
      </c>
      <c r="I65" s="408" t="str">
        <f>+IFERROR(INDEX([4]IMPORTS!$R:$R,MATCH($A65,[4]IMPORTS!$C:$C,0)),"")</f>
        <v>CIF</v>
      </c>
      <c r="J65" s="409">
        <f>+IFERROR(INDEX([4]IMPORTS!$S:$S,MATCH($A65,[4]IMPORTS!$C:$C,0)),"")</f>
        <v>6250</v>
      </c>
      <c r="K65" s="403">
        <f t="shared" si="1"/>
        <v>6250</v>
      </c>
      <c r="L65" s="403">
        <f t="shared" si="9"/>
        <v>6.875</v>
      </c>
      <c r="M65" s="403">
        <f t="shared" si="10"/>
        <v>6256.875</v>
      </c>
      <c r="N65" s="404">
        <f t="shared" si="11"/>
        <v>125</v>
      </c>
      <c r="O65" s="404">
        <f t="shared" si="12"/>
        <v>1001</v>
      </c>
      <c r="P65" s="404">
        <f t="shared" si="13"/>
        <v>258</v>
      </c>
      <c r="Q65" s="463">
        <f t="shared" si="2"/>
        <v>1384</v>
      </c>
      <c r="R65" s="464">
        <v>3.3610000000000002</v>
      </c>
      <c r="S65" s="463">
        <f t="shared" si="3"/>
        <v>4651.6240000000007</v>
      </c>
      <c r="T65" s="397" t="s">
        <v>256</v>
      </c>
    </row>
    <row r="66" spans="1:20" ht="15" hidden="1" x14ac:dyDescent="0.25">
      <c r="A66" s="398" t="s">
        <v>3057</v>
      </c>
      <c r="B66" s="398"/>
      <c r="C66" s="399" t="s">
        <v>3058</v>
      </c>
      <c r="D66" s="400" t="s">
        <v>994</v>
      </c>
      <c r="E66" s="401" t="s">
        <v>828</v>
      </c>
      <c r="F66" s="408">
        <f>+IFERROR(INDEX([4]IMPORTS!$Y:$Y,MATCH($A66,[4]IMPORTS!$C:$C,0)),"")</f>
        <v>43607</v>
      </c>
      <c r="G66" s="408">
        <f t="shared" ref="G66:G129" si="14">+F66-2</f>
        <v>43605</v>
      </c>
      <c r="H66" s="402">
        <f>+IFERROR(INDEX([4]IMPORTS!$P:$P,MATCH($A66,[4]IMPORTS!$C:$C,0)),"")</f>
        <v>0.24</v>
      </c>
      <c r="I66" s="408" t="str">
        <f>+IFERROR(INDEX([4]IMPORTS!$R:$R,MATCH($A66,[4]IMPORTS!$C:$C,0)),"")</f>
        <v>CIF</v>
      </c>
      <c r="J66" s="409">
        <f>+IFERROR(INDEX([4]IMPORTS!$S:$S,MATCH($A66,[4]IMPORTS!$C:$C,0)),"")</f>
        <v>18620</v>
      </c>
      <c r="K66" s="403">
        <f t="shared" ref="K66:K129" si="15">+H66*J66</f>
        <v>4468.8</v>
      </c>
      <c r="L66" s="403">
        <f t="shared" si="9"/>
        <v>4.9156800000000009</v>
      </c>
      <c r="M66" s="403">
        <f t="shared" si="10"/>
        <v>4473.7156800000002</v>
      </c>
      <c r="N66" s="404">
        <f t="shared" si="11"/>
        <v>89</v>
      </c>
      <c r="O66" s="404">
        <f t="shared" si="12"/>
        <v>716</v>
      </c>
      <c r="P66" s="404">
        <f t="shared" si="13"/>
        <v>185</v>
      </c>
      <c r="Q66" s="463">
        <f t="shared" ref="Q66:Q129" si="16">N66+O66+P66</f>
        <v>990</v>
      </c>
      <c r="R66" s="464">
        <v>3.3610000000000002</v>
      </c>
      <c r="S66" s="463">
        <f t="shared" ref="S66:S129" si="17">Q66*R66</f>
        <v>3327.3900000000003</v>
      </c>
      <c r="T66" s="397" t="s">
        <v>256</v>
      </c>
    </row>
    <row r="67" spans="1:20" ht="15" hidden="1" x14ac:dyDescent="0.25">
      <c r="A67" s="398" t="s">
        <v>3059</v>
      </c>
      <c r="B67" s="398"/>
      <c r="C67" s="399" t="s">
        <v>3060</v>
      </c>
      <c r="D67" s="400" t="s">
        <v>994</v>
      </c>
      <c r="E67" s="401" t="s">
        <v>828</v>
      </c>
      <c r="F67" s="408">
        <f>+IFERROR(INDEX([4]IMPORTS!$Y:$Y,MATCH($A67,[4]IMPORTS!$C:$C,0)),"")</f>
        <v>43607</v>
      </c>
      <c r="G67" s="408">
        <f t="shared" si="14"/>
        <v>43605</v>
      </c>
      <c r="H67" s="402">
        <f>+IFERROR(INDEX([4]IMPORTS!$P:$P,MATCH($A67,[4]IMPORTS!$C:$C,0)),"")</f>
        <v>1</v>
      </c>
      <c r="I67" s="408" t="str">
        <f>+IFERROR(INDEX([4]IMPORTS!$R:$R,MATCH($A67,[4]IMPORTS!$C:$C,0)),"")</f>
        <v>CIF</v>
      </c>
      <c r="J67" s="409">
        <f>+IFERROR(INDEX([4]IMPORTS!$S:$S,MATCH($A67,[4]IMPORTS!$C:$C,0)),"")</f>
        <v>29100</v>
      </c>
      <c r="K67" s="403">
        <f t="shared" si="15"/>
        <v>29100</v>
      </c>
      <c r="L67" s="403">
        <f t="shared" si="9"/>
        <v>32.010000000000005</v>
      </c>
      <c r="M67" s="403">
        <f t="shared" si="10"/>
        <v>29132.01</v>
      </c>
      <c r="N67" s="404">
        <f t="shared" si="11"/>
        <v>583</v>
      </c>
      <c r="O67" s="404">
        <f t="shared" si="12"/>
        <v>4661</v>
      </c>
      <c r="P67" s="404">
        <f t="shared" si="13"/>
        <v>1203</v>
      </c>
      <c r="Q67" s="463">
        <f t="shared" si="16"/>
        <v>6447</v>
      </c>
      <c r="R67" s="464">
        <v>3.3610000000000002</v>
      </c>
      <c r="S67" s="463">
        <f t="shared" si="17"/>
        <v>21668.367000000002</v>
      </c>
      <c r="T67" s="397" t="s">
        <v>256</v>
      </c>
    </row>
    <row r="68" spans="1:20" ht="15" hidden="1" x14ac:dyDescent="0.25">
      <c r="A68" s="398" t="s">
        <v>3061</v>
      </c>
      <c r="B68" s="398"/>
      <c r="C68" s="399" t="s">
        <v>3062</v>
      </c>
      <c r="D68" s="400" t="s">
        <v>994</v>
      </c>
      <c r="E68" s="401" t="s">
        <v>828</v>
      </c>
      <c r="F68" s="408">
        <f>+IFERROR(INDEX([4]IMPORTS!$Y:$Y,MATCH($A68,[4]IMPORTS!$C:$C,0)),"")</f>
        <v>43607</v>
      </c>
      <c r="G68" s="408">
        <f t="shared" si="14"/>
        <v>43605</v>
      </c>
      <c r="H68" s="402">
        <f>+IFERROR(INDEX([4]IMPORTS!$P:$P,MATCH($A68,[4]IMPORTS!$C:$C,0)),"")</f>
        <v>0.2</v>
      </c>
      <c r="I68" s="408" t="str">
        <f>+IFERROR(INDEX([4]IMPORTS!$R:$R,MATCH($A68,[4]IMPORTS!$C:$C,0)),"")</f>
        <v>CIF</v>
      </c>
      <c r="J68" s="409">
        <f>+IFERROR(INDEX([4]IMPORTS!$S:$S,MATCH($A68,[4]IMPORTS!$C:$C,0)),"")</f>
        <v>32799.999999999993</v>
      </c>
      <c r="K68" s="403">
        <f t="shared" si="15"/>
        <v>6559.9999999999991</v>
      </c>
      <c r="L68" s="403">
        <f t="shared" si="9"/>
        <v>7.2159999999999993</v>
      </c>
      <c r="M68" s="403">
        <f t="shared" si="10"/>
        <v>6567.2159999999994</v>
      </c>
      <c r="N68" s="404">
        <f t="shared" si="11"/>
        <v>131</v>
      </c>
      <c r="O68" s="404">
        <f t="shared" si="12"/>
        <v>1051</v>
      </c>
      <c r="P68" s="404">
        <f t="shared" si="13"/>
        <v>271</v>
      </c>
      <c r="Q68" s="463">
        <f t="shared" si="16"/>
        <v>1453</v>
      </c>
      <c r="R68" s="464">
        <v>3.3610000000000002</v>
      </c>
      <c r="S68" s="463">
        <f t="shared" si="17"/>
        <v>4883.5330000000004</v>
      </c>
      <c r="T68" s="397" t="s">
        <v>256</v>
      </c>
    </row>
    <row r="69" spans="1:20" ht="15" hidden="1" x14ac:dyDescent="0.25">
      <c r="A69" s="398" t="s">
        <v>3063</v>
      </c>
      <c r="B69" s="398"/>
      <c r="C69" s="399" t="s">
        <v>3064</v>
      </c>
      <c r="D69" s="400" t="s">
        <v>994</v>
      </c>
      <c r="E69" s="401" t="s">
        <v>828</v>
      </c>
      <c r="F69" s="408">
        <f>+IFERROR(INDEX([4]IMPORTS!$Y:$Y,MATCH($A69,[4]IMPORTS!$C:$C,0)),"")</f>
        <v>43607</v>
      </c>
      <c r="G69" s="408">
        <f t="shared" si="14"/>
        <v>43605</v>
      </c>
      <c r="H69" s="402">
        <f>+IFERROR(INDEX([4]IMPORTS!$P:$P,MATCH($A69,[4]IMPORTS!$C:$C,0)),"")</f>
        <v>0.2</v>
      </c>
      <c r="I69" s="408" t="str">
        <f>+IFERROR(INDEX([4]IMPORTS!$R:$R,MATCH($A69,[4]IMPORTS!$C:$C,0)),"")</f>
        <v>CIF</v>
      </c>
      <c r="J69" s="409">
        <f>+IFERROR(INDEX([4]IMPORTS!$S:$S,MATCH($A69,[4]IMPORTS!$C:$C,0)),"")</f>
        <v>19040</v>
      </c>
      <c r="K69" s="403">
        <f t="shared" si="15"/>
        <v>3808</v>
      </c>
      <c r="L69" s="403">
        <f t="shared" si="9"/>
        <v>4.1888000000000005</v>
      </c>
      <c r="M69" s="403">
        <f t="shared" si="10"/>
        <v>3812.1887999999999</v>
      </c>
      <c r="N69" s="404">
        <f t="shared" si="11"/>
        <v>76</v>
      </c>
      <c r="O69" s="404">
        <f t="shared" si="12"/>
        <v>610</v>
      </c>
      <c r="P69" s="404">
        <f t="shared" si="13"/>
        <v>157</v>
      </c>
      <c r="Q69" s="463">
        <f t="shared" si="16"/>
        <v>843</v>
      </c>
      <c r="R69" s="464">
        <v>3.3610000000000002</v>
      </c>
      <c r="S69" s="463">
        <f t="shared" si="17"/>
        <v>2833.3230000000003</v>
      </c>
      <c r="T69" s="397" t="s">
        <v>256</v>
      </c>
    </row>
    <row r="70" spans="1:20" ht="15" hidden="1" x14ac:dyDescent="0.25">
      <c r="A70" s="398" t="s">
        <v>3065</v>
      </c>
      <c r="B70" s="398"/>
      <c r="C70" s="399" t="s">
        <v>3066</v>
      </c>
      <c r="D70" s="400" t="s">
        <v>994</v>
      </c>
      <c r="E70" s="401" t="s">
        <v>828</v>
      </c>
      <c r="F70" s="408">
        <f>+IFERROR(INDEX([4]IMPORTS!$Y:$Y,MATCH($A70,[4]IMPORTS!$C:$C,0)),"")</f>
        <v>43607</v>
      </c>
      <c r="G70" s="408">
        <f t="shared" si="14"/>
        <v>43605</v>
      </c>
      <c r="H70" s="402">
        <f>+IFERROR(INDEX([4]IMPORTS!$P:$P,MATCH($A70,[4]IMPORTS!$C:$C,0)),"")</f>
        <v>0.1</v>
      </c>
      <c r="I70" s="408" t="str">
        <f>+IFERROR(INDEX([4]IMPORTS!$R:$R,MATCH($A70,[4]IMPORTS!$C:$C,0)),"")</f>
        <v>CIF</v>
      </c>
      <c r="J70" s="409">
        <f>+IFERROR(INDEX([4]IMPORTS!$S:$S,MATCH($A70,[4]IMPORTS!$C:$C,0)),"")</f>
        <v>14950</v>
      </c>
      <c r="K70" s="403">
        <f t="shared" si="15"/>
        <v>1495</v>
      </c>
      <c r="L70" s="403">
        <f t="shared" si="9"/>
        <v>1.6445000000000001</v>
      </c>
      <c r="M70" s="403">
        <f t="shared" si="10"/>
        <v>1496.6445000000001</v>
      </c>
      <c r="N70" s="404">
        <f t="shared" si="11"/>
        <v>30</v>
      </c>
      <c r="O70" s="404">
        <f t="shared" si="12"/>
        <v>239</v>
      </c>
      <c r="P70" s="404">
        <f t="shared" si="13"/>
        <v>62</v>
      </c>
      <c r="Q70" s="463">
        <f t="shared" si="16"/>
        <v>331</v>
      </c>
      <c r="R70" s="464">
        <v>3.3610000000000002</v>
      </c>
      <c r="S70" s="463">
        <f t="shared" si="17"/>
        <v>1112.491</v>
      </c>
      <c r="T70" s="397" t="s">
        <v>256</v>
      </c>
    </row>
    <row r="71" spans="1:20" ht="15" hidden="1" x14ac:dyDescent="0.25">
      <c r="A71" s="398" t="s">
        <v>3067</v>
      </c>
      <c r="B71" s="398"/>
      <c r="C71" s="399" t="s">
        <v>3068</v>
      </c>
      <c r="D71" s="400" t="s">
        <v>994</v>
      </c>
      <c r="E71" s="401" t="s">
        <v>828</v>
      </c>
      <c r="F71" s="408">
        <f>+IFERROR(INDEX([4]IMPORTS!$Y:$Y,MATCH($A71,[4]IMPORTS!$C:$C,0)),"")</f>
        <v>43607</v>
      </c>
      <c r="G71" s="408">
        <f t="shared" si="14"/>
        <v>43605</v>
      </c>
      <c r="H71" s="402">
        <f>+IFERROR(INDEX([4]IMPORTS!$P:$P,MATCH($A71,[4]IMPORTS!$C:$C,0)),"")</f>
        <v>2</v>
      </c>
      <c r="I71" s="408" t="str">
        <f>+IFERROR(INDEX([4]IMPORTS!$R:$R,MATCH($A71,[4]IMPORTS!$C:$C,0)),"")</f>
        <v>CIF</v>
      </c>
      <c r="J71" s="409">
        <f>+IFERROR(INDEX([4]IMPORTS!$S:$S,MATCH($A71,[4]IMPORTS!$C:$C,0)),"")</f>
        <v>9700</v>
      </c>
      <c r="K71" s="403">
        <f t="shared" si="15"/>
        <v>19400</v>
      </c>
      <c r="L71" s="403">
        <f t="shared" si="9"/>
        <v>21.34</v>
      </c>
      <c r="M71" s="403">
        <f t="shared" si="10"/>
        <v>19421.34</v>
      </c>
      <c r="N71" s="404">
        <f t="shared" si="11"/>
        <v>388</v>
      </c>
      <c r="O71" s="404">
        <f t="shared" si="12"/>
        <v>3107</v>
      </c>
      <c r="P71" s="404">
        <f t="shared" si="13"/>
        <v>802</v>
      </c>
      <c r="Q71" s="463">
        <f t="shared" si="16"/>
        <v>4297</v>
      </c>
      <c r="R71" s="464">
        <v>3.3610000000000002</v>
      </c>
      <c r="S71" s="463">
        <f t="shared" si="17"/>
        <v>14442.217000000001</v>
      </c>
      <c r="T71" s="397" t="s">
        <v>256</v>
      </c>
    </row>
    <row r="72" spans="1:20" ht="15" hidden="1" x14ac:dyDescent="0.25">
      <c r="A72" s="398" t="s">
        <v>3069</v>
      </c>
      <c r="B72" s="398"/>
      <c r="C72" s="399" t="s">
        <v>3070</v>
      </c>
      <c r="D72" s="400" t="s">
        <v>994</v>
      </c>
      <c r="E72" s="401" t="s">
        <v>828</v>
      </c>
      <c r="F72" s="408">
        <f>+IFERROR(INDEX([4]IMPORTS!$Y:$Y,MATCH($A72,[4]IMPORTS!$C:$C,0)),"")</f>
        <v>43607</v>
      </c>
      <c r="G72" s="408">
        <f t="shared" si="14"/>
        <v>43605</v>
      </c>
      <c r="H72" s="402">
        <f>+IFERROR(INDEX([4]IMPORTS!$P:$P,MATCH($A72,[4]IMPORTS!$C:$C,0)),"")</f>
        <v>2</v>
      </c>
      <c r="I72" s="408" t="str">
        <f>+IFERROR(INDEX([4]IMPORTS!$R:$R,MATCH($A72,[4]IMPORTS!$C:$C,0)),"")</f>
        <v>CIF</v>
      </c>
      <c r="J72" s="409">
        <f>+IFERROR(INDEX([4]IMPORTS!$S:$S,MATCH($A72,[4]IMPORTS!$C:$C,0)),"")</f>
        <v>10000</v>
      </c>
      <c r="K72" s="403">
        <f t="shared" si="15"/>
        <v>20000</v>
      </c>
      <c r="L72" s="403">
        <f t="shared" si="9"/>
        <v>22</v>
      </c>
      <c r="M72" s="403">
        <f t="shared" si="10"/>
        <v>20022</v>
      </c>
      <c r="N72" s="404">
        <f t="shared" si="11"/>
        <v>400</v>
      </c>
      <c r="O72" s="404">
        <f t="shared" si="12"/>
        <v>3204</v>
      </c>
      <c r="P72" s="404">
        <f t="shared" si="13"/>
        <v>827</v>
      </c>
      <c r="Q72" s="463">
        <f t="shared" si="16"/>
        <v>4431</v>
      </c>
      <c r="R72" s="464">
        <v>3.3610000000000002</v>
      </c>
      <c r="S72" s="463">
        <f t="shared" si="17"/>
        <v>14892.591</v>
      </c>
      <c r="T72" s="397" t="s">
        <v>256</v>
      </c>
    </row>
    <row r="73" spans="1:20" ht="15" hidden="1" x14ac:dyDescent="0.25">
      <c r="A73" s="398" t="s">
        <v>1032</v>
      </c>
      <c r="B73" s="398"/>
      <c r="C73" s="399" t="s">
        <v>11</v>
      </c>
      <c r="D73" s="400" t="s">
        <v>16</v>
      </c>
      <c r="E73" s="401" t="s">
        <v>827</v>
      </c>
      <c r="F73" s="408">
        <f>+IFERROR(INDEX([4]IMPORTS!$Y:$Y,MATCH($A73,[4]IMPORTS!$C:$C,0)),"")</f>
        <v>43598</v>
      </c>
      <c r="G73" s="408">
        <f t="shared" si="14"/>
        <v>43596</v>
      </c>
      <c r="H73" s="402">
        <f>+IFERROR(INDEX([4]IMPORTS!$P:$P,MATCH($A73,[4]IMPORTS!$C:$C,0)),"")</f>
        <v>75</v>
      </c>
      <c r="I73" s="408" t="str">
        <f>+IFERROR(INDEX([4]IMPORTS!$R:$R,MATCH($A73,[4]IMPORTS!$C:$C,0)),"")</f>
        <v>CFR</v>
      </c>
      <c r="J73" s="409">
        <f>+IFERROR(INDEX([4]IMPORTS!$S:$S,MATCH($A73,[4]IMPORTS!$C:$C,0)),"")</f>
        <v>278</v>
      </c>
      <c r="K73" s="403">
        <f t="shared" si="15"/>
        <v>20850</v>
      </c>
      <c r="L73" s="403">
        <f t="shared" si="9"/>
        <v>22.935000000000002</v>
      </c>
      <c r="M73" s="403">
        <f t="shared" si="10"/>
        <v>20872.935000000001</v>
      </c>
      <c r="N73" s="404">
        <f t="shared" si="11"/>
        <v>417</v>
      </c>
      <c r="O73" s="404">
        <f t="shared" si="12"/>
        <v>3340</v>
      </c>
      <c r="P73" s="404">
        <f t="shared" si="13"/>
        <v>862</v>
      </c>
      <c r="Q73" s="463">
        <f t="shared" si="16"/>
        <v>4619</v>
      </c>
      <c r="R73" s="464">
        <v>3.3610000000000002</v>
      </c>
      <c r="S73" s="463">
        <f t="shared" si="17"/>
        <v>15524.459000000001</v>
      </c>
      <c r="T73" s="397" t="s">
        <v>256</v>
      </c>
    </row>
    <row r="74" spans="1:20" ht="15" hidden="1" x14ac:dyDescent="0.25">
      <c r="A74" s="398" t="s">
        <v>1053</v>
      </c>
      <c r="B74" s="398"/>
      <c r="C74" s="399" t="s">
        <v>447</v>
      </c>
      <c r="D74" s="400" t="s">
        <v>44</v>
      </c>
      <c r="E74" s="401" t="s">
        <v>828</v>
      </c>
      <c r="F74" s="408">
        <f>+IFERROR(INDEX([4]IMPORTS!$Y:$Y,MATCH($A74,[4]IMPORTS!$C:$C,0)),"")</f>
        <v>43658</v>
      </c>
      <c r="G74" s="408">
        <f t="shared" si="14"/>
        <v>43656</v>
      </c>
      <c r="H74" s="402">
        <f>+IFERROR(INDEX([4]IMPORTS!$P:$P,MATCH($A74,[4]IMPORTS!$C:$C,0)),"")</f>
        <v>1.81437</v>
      </c>
      <c r="I74" s="408" t="str">
        <f>+IFERROR(INDEX([4]IMPORTS!$R:$R,MATCH($A74,[4]IMPORTS!$C:$C,0)),"")</f>
        <v>CPT</v>
      </c>
      <c r="J74" s="409">
        <f>+IFERROR(INDEX([4]IMPORTS!$S:$S,MATCH($A74,[4]IMPORTS!$C:$C,0)),"")</f>
        <v>2359.6620314489328</v>
      </c>
      <c r="K74" s="403">
        <f t="shared" si="15"/>
        <v>4281.3</v>
      </c>
      <c r="L74" s="403">
        <f t="shared" si="9"/>
        <v>4.7094300000000002</v>
      </c>
      <c r="M74" s="403">
        <f t="shared" si="10"/>
        <v>4286.0094300000001</v>
      </c>
      <c r="N74" s="404">
        <f t="shared" si="11"/>
        <v>86</v>
      </c>
      <c r="O74" s="404">
        <f t="shared" si="12"/>
        <v>686</v>
      </c>
      <c r="P74" s="404">
        <f t="shared" si="13"/>
        <v>177</v>
      </c>
      <c r="Q74" s="463">
        <f t="shared" si="16"/>
        <v>949</v>
      </c>
      <c r="R74" s="464">
        <v>3.3610000000000002</v>
      </c>
      <c r="S74" s="463">
        <f t="shared" si="17"/>
        <v>3189.5890000000004</v>
      </c>
      <c r="T74" s="397" t="s">
        <v>256</v>
      </c>
    </row>
    <row r="75" spans="1:20" ht="15" hidden="1" x14ac:dyDescent="0.25">
      <c r="A75" s="398" t="s">
        <v>1056</v>
      </c>
      <c r="B75" s="398"/>
      <c r="C75" s="399" t="s">
        <v>687</v>
      </c>
      <c r="D75" s="400" t="s">
        <v>7</v>
      </c>
      <c r="E75" s="401" t="s">
        <v>828</v>
      </c>
      <c r="F75" s="408">
        <f>+IFERROR(INDEX([4]IMPORTS!$Y:$Y,MATCH($A75,[4]IMPORTS!$C:$C,0)),"")</f>
        <v>43612</v>
      </c>
      <c r="G75" s="408">
        <f t="shared" si="14"/>
        <v>43610</v>
      </c>
      <c r="H75" s="402">
        <f>+IFERROR(INDEX([4]IMPORTS!$P:$P,MATCH($A75,[4]IMPORTS!$C:$C,0)),"")</f>
        <v>1759.5</v>
      </c>
      <c r="I75" s="408" t="str">
        <f>+IFERROR(INDEX([4]IMPORTS!$R:$R,MATCH($A75,[4]IMPORTS!$C:$C,0)),"")</f>
        <v>CFR</v>
      </c>
      <c r="J75" s="409">
        <f>+IFERROR(INDEX([4]IMPORTS!$S:$S,MATCH($A75,[4]IMPORTS!$C:$C,0)),"")</f>
        <v>140</v>
      </c>
      <c r="K75" s="403">
        <f t="shared" si="15"/>
        <v>246330</v>
      </c>
      <c r="L75" s="403">
        <f t="shared" si="9"/>
        <v>270.96300000000002</v>
      </c>
      <c r="M75" s="403">
        <f t="shared" si="10"/>
        <v>246600.96299999999</v>
      </c>
      <c r="N75" s="404">
        <f t="shared" si="11"/>
        <v>4932</v>
      </c>
      <c r="O75" s="404">
        <f t="shared" si="12"/>
        <v>39456</v>
      </c>
      <c r="P75" s="404">
        <f t="shared" si="13"/>
        <v>10185</v>
      </c>
      <c r="Q75" s="463">
        <f t="shared" si="16"/>
        <v>54573</v>
      </c>
      <c r="R75" s="464">
        <v>3.3610000000000002</v>
      </c>
      <c r="S75" s="463">
        <f t="shared" si="17"/>
        <v>183419.853</v>
      </c>
      <c r="T75" s="397" t="s">
        <v>256</v>
      </c>
    </row>
    <row r="76" spans="1:20" ht="15" hidden="1" x14ac:dyDescent="0.25">
      <c r="A76" s="398" t="s">
        <v>1136</v>
      </c>
      <c r="B76" s="398"/>
      <c r="C76" s="399" t="s">
        <v>687</v>
      </c>
      <c r="D76" s="400" t="s">
        <v>7</v>
      </c>
      <c r="E76" s="401" t="s">
        <v>827</v>
      </c>
      <c r="F76" s="408">
        <f>+IFERROR(INDEX([4]IMPORTS!$Y:$Y,MATCH($A76,[4]IMPORTS!$C:$C,0)),"")</f>
        <v>43599</v>
      </c>
      <c r="G76" s="408">
        <f t="shared" si="14"/>
        <v>43597</v>
      </c>
      <c r="H76" s="402">
        <f>+IFERROR(INDEX([4]IMPORTS!$P:$P,MATCH($A76,[4]IMPORTS!$C:$C,0)),"")</f>
        <v>514.79999999999995</v>
      </c>
      <c r="I76" s="408" t="str">
        <f>+IFERROR(INDEX([4]IMPORTS!$R:$R,MATCH($A76,[4]IMPORTS!$C:$C,0)),"")</f>
        <v>CFR</v>
      </c>
      <c r="J76" s="409">
        <f>+IFERROR(INDEX([4]IMPORTS!$S:$S,MATCH($A76,[4]IMPORTS!$C:$C,0)),"")</f>
        <v>160</v>
      </c>
      <c r="K76" s="403">
        <f t="shared" si="15"/>
        <v>82368</v>
      </c>
      <c r="L76" s="403">
        <f t="shared" si="9"/>
        <v>90.604800000000012</v>
      </c>
      <c r="M76" s="403">
        <f t="shared" si="10"/>
        <v>82458.604800000001</v>
      </c>
      <c r="N76" s="404">
        <f t="shared" si="11"/>
        <v>1649</v>
      </c>
      <c r="O76" s="404">
        <f t="shared" si="12"/>
        <v>13193</v>
      </c>
      <c r="P76" s="404">
        <f t="shared" si="13"/>
        <v>3406</v>
      </c>
      <c r="Q76" s="463">
        <f t="shared" si="16"/>
        <v>18248</v>
      </c>
      <c r="R76" s="464">
        <v>3.3610000000000002</v>
      </c>
      <c r="S76" s="463">
        <f t="shared" si="17"/>
        <v>61331.528000000006</v>
      </c>
      <c r="T76" s="397" t="s">
        <v>256</v>
      </c>
    </row>
    <row r="77" spans="1:20" ht="15" hidden="1" x14ac:dyDescent="0.25">
      <c r="A77" s="398" t="s">
        <v>1137</v>
      </c>
      <c r="B77" s="398"/>
      <c r="C77" s="399" t="s">
        <v>687</v>
      </c>
      <c r="D77" s="400" t="s">
        <v>7</v>
      </c>
      <c r="E77" s="401" t="s">
        <v>827</v>
      </c>
      <c r="F77" s="408">
        <f>+IFERROR(INDEX([4]IMPORTS!$Y:$Y,MATCH($A77,[4]IMPORTS!$C:$C,0)),"")</f>
        <v>43599</v>
      </c>
      <c r="G77" s="408">
        <f t="shared" si="14"/>
        <v>43597</v>
      </c>
      <c r="H77" s="402">
        <f>+IFERROR(INDEX([4]IMPORTS!$P:$P,MATCH($A77,[4]IMPORTS!$C:$C,0)),"")</f>
        <v>486.2</v>
      </c>
      <c r="I77" s="408" t="str">
        <f>+IFERROR(INDEX([4]IMPORTS!$R:$R,MATCH($A77,[4]IMPORTS!$C:$C,0)),"")</f>
        <v>CFR</v>
      </c>
      <c r="J77" s="409">
        <f>+IFERROR(INDEX([4]IMPORTS!$S:$S,MATCH($A77,[4]IMPORTS!$C:$C,0)),"")</f>
        <v>160</v>
      </c>
      <c r="K77" s="403">
        <f t="shared" si="15"/>
        <v>77792</v>
      </c>
      <c r="L77" s="403">
        <f t="shared" si="9"/>
        <v>85.571200000000005</v>
      </c>
      <c r="M77" s="403">
        <f t="shared" si="10"/>
        <v>77877.571200000006</v>
      </c>
      <c r="N77" s="404">
        <f t="shared" si="11"/>
        <v>1558</v>
      </c>
      <c r="O77" s="404">
        <f t="shared" si="12"/>
        <v>12460</v>
      </c>
      <c r="P77" s="404">
        <f t="shared" si="13"/>
        <v>3216</v>
      </c>
      <c r="Q77" s="463">
        <f t="shared" si="16"/>
        <v>17234</v>
      </c>
      <c r="R77" s="464">
        <v>3.3610000000000002</v>
      </c>
      <c r="S77" s="463">
        <f t="shared" si="17"/>
        <v>57923.474000000002</v>
      </c>
      <c r="T77" s="397" t="s">
        <v>256</v>
      </c>
    </row>
    <row r="78" spans="1:20" ht="15" hidden="1" x14ac:dyDescent="0.25">
      <c r="A78" s="398" t="s">
        <v>1140</v>
      </c>
      <c r="B78" s="398"/>
      <c r="C78" s="399" t="s">
        <v>687</v>
      </c>
      <c r="D78" s="400" t="s">
        <v>7</v>
      </c>
      <c r="E78" s="401" t="s">
        <v>827</v>
      </c>
      <c r="F78" s="408">
        <f>+IFERROR(INDEX([4]IMPORTS!$Y:$Y,MATCH($A78,[4]IMPORTS!$C:$C,0)),"")</f>
        <v>43623</v>
      </c>
      <c r="G78" s="408">
        <f t="shared" si="14"/>
        <v>43621</v>
      </c>
      <c r="H78" s="402">
        <f>+IFERROR(INDEX([4]IMPORTS!$P:$P,MATCH($A78,[4]IMPORTS!$C:$C,0)),"")</f>
        <v>858</v>
      </c>
      <c r="I78" s="408" t="str">
        <f>+IFERROR(INDEX([4]IMPORTS!$R:$R,MATCH($A78,[4]IMPORTS!$C:$C,0)),"")</f>
        <v>CFR</v>
      </c>
      <c r="J78" s="409">
        <f>+IFERROR(INDEX([4]IMPORTS!$S:$S,MATCH($A78,[4]IMPORTS!$C:$C,0)),"")</f>
        <v>160</v>
      </c>
      <c r="K78" s="403">
        <f t="shared" si="15"/>
        <v>137280</v>
      </c>
      <c r="L78" s="403">
        <f t="shared" si="9"/>
        <v>151.00800000000001</v>
      </c>
      <c r="M78" s="403">
        <f t="shared" si="10"/>
        <v>137431.008</v>
      </c>
      <c r="N78" s="404">
        <f t="shared" si="11"/>
        <v>2749</v>
      </c>
      <c r="O78" s="404">
        <f t="shared" si="12"/>
        <v>21989</v>
      </c>
      <c r="P78" s="404">
        <f t="shared" si="13"/>
        <v>5676</v>
      </c>
      <c r="Q78" s="463">
        <f t="shared" si="16"/>
        <v>30414</v>
      </c>
      <c r="R78" s="464">
        <v>3.3610000000000002</v>
      </c>
      <c r="S78" s="463">
        <f t="shared" si="17"/>
        <v>102221.45400000001</v>
      </c>
      <c r="T78" s="397" t="s">
        <v>256</v>
      </c>
    </row>
    <row r="79" spans="1:20" ht="15" hidden="1" x14ac:dyDescent="0.25">
      <c r="A79" s="398" t="s">
        <v>1151</v>
      </c>
      <c r="B79" s="398"/>
      <c r="C79" s="399" t="s">
        <v>687</v>
      </c>
      <c r="D79" s="400" t="s">
        <v>7</v>
      </c>
      <c r="E79" s="401" t="s">
        <v>827</v>
      </c>
      <c r="F79" s="408">
        <f>+IFERROR(INDEX([4]IMPORTS!$Y:$Y,MATCH($A79,[4]IMPORTS!$C:$C,0)),"")</f>
        <v>43623</v>
      </c>
      <c r="G79" s="408">
        <f t="shared" si="14"/>
        <v>43621</v>
      </c>
      <c r="H79" s="402">
        <f>+IFERROR(INDEX([4]IMPORTS!$P:$P,MATCH($A79,[4]IMPORTS!$C:$C,0)),"")</f>
        <v>114.4</v>
      </c>
      <c r="I79" s="408" t="str">
        <f>+IFERROR(INDEX([4]IMPORTS!$R:$R,MATCH($A79,[4]IMPORTS!$C:$C,0)),"")</f>
        <v>CFR</v>
      </c>
      <c r="J79" s="409">
        <f>+IFERROR(INDEX([4]IMPORTS!$S:$S,MATCH($A79,[4]IMPORTS!$C:$C,0)),"")</f>
        <v>160</v>
      </c>
      <c r="K79" s="403">
        <f t="shared" si="15"/>
        <v>18304</v>
      </c>
      <c r="L79" s="403">
        <f t="shared" si="9"/>
        <v>20.134400000000003</v>
      </c>
      <c r="M79" s="403">
        <f t="shared" si="10"/>
        <v>18324.134399999999</v>
      </c>
      <c r="N79" s="404">
        <f t="shared" si="11"/>
        <v>366</v>
      </c>
      <c r="O79" s="404">
        <f t="shared" si="12"/>
        <v>2932</v>
      </c>
      <c r="P79" s="404">
        <f t="shared" si="13"/>
        <v>757</v>
      </c>
      <c r="Q79" s="463">
        <f t="shared" si="16"/>
        <v>4055</v>
      </c>
      <c r="R79" s="464">
        <v>3.3610000000000002</v>
      </c>
      <c r="S79" s="463">
        <f t="shared" si="17"/>
        <v>13628.855000000001</v>
      </c>
      <c r="T79" s="397" t="s">
        <v>256</v>
      </c>
    </row>
    <row r="80" spans="1:20" ht="15" hidden="1" x14ac:dyDescent="0.25">
      <c r="A80" s="398" t="s">
        <v>1126</v>
      </c>
      <c r="B80" s="398"/>
      <c r="C80" s="399" t="s">
        <v>10</v>
      </c>
      <c r="D80" s="400" t="s">
        <v>7</v>
      </c>
      <c r="E80" s="401" t="s">
        <v>828</v>
      </c>
      <c r="F80" s="408">
        <f>+IFERROR(INDEX([4]IMPORTS!$Y:$Y,MATCH($A80,[4]IMPORTS!$C:$C,0)),"")</f>
        <v>43589</v>
      </c>
      <c r="G80" s="408">
        <f t="shared" si="14"/>
        <v>43587</v>
      </c>
      <c r="H80" s="402">
        <f>+IFERROR(INDEX([4]IMPORTS!$P:$P,MATCH($A80,[4]IMPORTS!$C:$C,0)),"")</f>
        <v>1176</v>
      </c>
      <c r="I80" s="408" t="str">
        <f>+IFERROR(INDEX([4]IMPORTS!$R:$R,MATCH($A80,[4]IMPORTS!$C:$C,0)),"")</f>
        <v>CFR</v>
      </c>
      <c r="J80" s="409">
        <f>+IFERROR(INDEX([4]IMPORTS!$S:$S,MATCH($A80,[4]IMPORTS!$C:$C,0)),"")</f>
        <v>247</v>
      </c>
      <c r="K80" s="403">
        <f t="shared" si="15"/>
        <v>290472</v>
      </c>
      <c r="L80" s="403">
        <f t="shared" si="9"/>
        <v>319.51920000000001</v>
      </c>
      <c r="M80" s="403">
        <f t="shared" si="10"/>
        <v>290791.51919999998</v>
      </c>
      <c r="N80" s="404">
        <f t="shared" si="11"/>
        <v>5816</v>
      </c>
      <c r="O80" s="404">
        <f t="shared" si="12"/>
        <v>46527</v>
      </c>
      <c r="P80" s="404">
        <f t="shared" si="13"/>
        <v>12010</v>
      </c>
      <c r="Q80" s="463">
        <f t="shared" si="16"/>
        <v>64353</v>
      </c>
      <c r="R80" s="464">
        <v>3.3610000000000002</v>
      </c>
      <c r="S80" s="463">
        <f t="shared" si="17"/>
        <v>216290.43300000002</v>
      </c>
      <c r="T80" s="397" t="s">
        <v>256</v>
      </c>
    </row>
    <row r="81" spans="1:20" ht="15" hidden="1" x14ac:dyDescent="0.25">
      <c r="A81" s="398" t="s">
        <v>1064</v>
      </c>
      <c r="B81" s="398"/>
      <c r="C81" s="399" t="s">
        <v>1067</v>
      </c>
      <c r="D81" s="400" t="s">
        <v>890</v>
      </c>
      <c r="E81" s="401" t="s">
        <v>828</v>
      </c>
      <c r="F81" s="408">
        <f>+IFERROR(INDEX([4]IMPORTS!$Y:$Y,MATCH($A81,[4]IMPORTS!$C:$C,0)),"")</f>
        <v>43612</v>
      </c>
      <c r="G81" s="408">
        <f t="shared" si="14"/>
        <v>43610</v>
      </c>
      <c r="H81" s="402">
        <f>+IFERROR(INDEX([4]IMPORTS!$P:$P,MATCH($A81,[4]IMPORTS!$C:$C,0)),"")</f>
        <v>100</v>
      </c>
      <c r="I81" s="408" t="str">
        <f>+IFERROR(INDEX([4]IMPORTS!$R:$R,MATCH($A81,[4]IMPORTS!$C:$C,0)),"")</f>
        <v>CIF</v>
      </c>
      <c r="J81" s="409">
        <f>+IFERROR(INDEX([4]IMPORTS!$S:$S,MATCH($A81,[4]IMPORTS!$C:$C,0)),"")</f>
        <v>340</v>
      </c>
      <c r="K81" s="403">
        <f t="shared" si="15"/>
        <v>34000</v>
      </c>
      <c r="L81" s="403">
        <f t="shared" si="9"/>
        <v>37.400000000000006</v>
      </c>
      <c r="M81" s="403">
        <f t="shared" si="10"/>
        <v>34037.4</v>
      </c>
      <c r="N81" s="404">
        <f t="shared" si="11"/>
        <v>681</v>
      </c>
      <c r="O81" s="404">
        <f t="shared" si="12"/>
        <v>5446</v>
      </c>
      <c r="P81" s="404">
        <f t="shared" si="13"/>
        <v>1406</v>
      </c>
      <c r="Q81" s="463">
        <f t="shared" si="16"/>
        <v>7533</v>
      </c>
      <c r="R81" s="464">
        <v>3.3610000000000002</v>
      </c>
      <c r="S81" s="463">
        <f t="shared" si="17"/>
        <v>25318.413</v>
      </c>
      <c r="T81" s="397" t="s">
        <v>256</v>
      </c>
    </row>
    <row r="82" spans="1:20" ht="15" hidden="1" x14ac:dyDescent="0.25">
      <c r="A82" s="398" t="s">
        <v>1256</v>
      </c>
      <c r="B82" s="398"/>
      <c r="C82" s="399" t="s">
        <v>1325</v>
      </c>
      <c r="D82" s="400" t="s">
        <v>928</v>
      </c>
      <c r="E82" s="401" t="s">
        <v>827</v>
      </c>
      <c r="F82" s="408">
        <f>+IFERROR(INDEX([4]IMPORTS!$Y:$Y,MATCH($A82,[4]IMPORTS!$C:$C,0)),"")</f>
        <v>43695</v>
      </c>
      <c r="G82" s="408">
        <f t="shared" si="14"/>
        <v>43693</v>
      </c>
      <c r="H82" s="402">
        <f>+IFERROR(INDEX([4]IMPORTS!$P:$P,MATCH($A82,[4]IMPORTS!$C:$C,0)),"")</f>
        <v>264</v>
      </c>
      <c r="I82" s="408" t="str">
        <f>+IFERROR(INDEX([4]IMPORTS!$R:$R,MATCH($A82,[4]IMPORTS!$C:$C,0)),"")</f>
        <v>CFR</v>
      </c>
      <c r="J82" s="409">
        <f>+IFERROR(INDEX([4]IMPORTS!$S:$S,MATCH($A82,[4]IMPORTS!$C:$C,0)),"")</f>
        <v>889</v>
      </c>
      <c r="K82" s="403">
        <f t="shared" si="15"/>
        <v>234696</v>
      </c>
      <c r="L82" s="403">
        <f t="shared" si="9"/>
        <v>258.16560000000004</v>
      </c>
      <c r="M82" s="403">
        <f t="shared" si="10"/>
        <v>234954.16560000001</v>
      </c>
      <c r="N82" s="404">
        <f t="shared" si="11"/>
        <v>4699</v>
      </c>
      <c r="O82" s="404">
        <f t="shared" si="12"/>
        <v>37593</v>
      </c>
      <c r="P82" s="404">
        <f t="shared" si="13"/>
        <v>9704</v>
      </c>
      <c r="Q82" s="463">
        <f t="shared" si="16"/>
        <v>51996</v>
      </c>
      <c r="R82" s="464">
        <v>3.3610000000000002</v>
      </c>
      <c r="S82" s="463">
        <f t="shared" si="17"/>
        <v>174758.55600000001</v>
      </c>
      <c r="T82" s="397" t="s">
        <v>256</v>
      </c>
    </row>
    <row r="83" spans="1:20" ht="15" hidden="1" x14ac:dyDescent="0.25">
      <c r="A83" s="398" t="s">
        <v>1160</v>
      </c>
      <c r="B83" s="398"/>
      <c r="C83" s="399" t="s">
        <v>1325</v>
      </c>
      <c r="D83" s="400" t="s">
        <v>16</v>
      </c>
      <c r="E83" s="401" t="s">
        <v>827</v>
      </c>
      <c r="F83" s="408">
        <f>+IFERROR(INDEX([4]IMPORTS!$Y:$Y,MATCH($A83,[4]IMPORTS!$C:$C,0)),"")</f>
        <v>43726</v>
      </c>
      <c r="G83" s="408">
        <f t="shared" si="14"/>
        <v>43724</v>
      </c>
      <c r="H83" s="402">
        <f>+IFERROR(INDEX([4]IMPORTS!$P:$P,MATCH($A83,[4]IMPORTS!$C:$C,0)),"")</f>
        <v>310.8</v>
      </c>
      <c r="I83" s="408" t="str">
        <f>+IFERROR(INDEX([4]IMPORTS!$R:$R,MATCH($A83,[4]IMPORTS!$C:$C,0)),"")</f>
        <v>CIF</v>
      </c>
      <c r="J83" s="409">
        <f>+IFERROR(INDEX([4]IMPORTS!$S:$S,MATCH($A83,[4]IMPORTS!$C:$C,0)),"")</f>
        <v>885</v>
      </c>
      <c r="K83" s="403">
        <f t="shared" si="15"/>
        <v>275058</v>
      </c>
      <c r="L83" s="403">
        <f t="shared" si="9"/>
        <v>302.56380000000001</v>
      </c>
      <c r="M83" s="403">
        <f t="shared" si="10"/>
        <v>275360.5638</v>
      </c>
      <c r="N83" s="404">
        <f t="shared" si="11"/>
        <v>5507</v>
      </c>
      <c r="O83" s="404">
        <f t="shared" si="12"/>
        <v>44058</v>
      </c>
      <c r="P83" s="404">
        <f t="shared" si="13"/>
        <v>11372</v>
      </c>
      <c r="Q83" s="463">
        <f t="shared" si="16"/>
        <v>60937</v>
      </c>
      <c r="R83" s="464">
        <v>3.3610000000000002</v>
      </c>
      <c r="S83" s="463">
        <f t="shared" si="17"/>
        <v>204809.25700000001</v>
      </c>
      <c r="T83" s="397" t="s">
        <v>256</v>
      </c>
    </row>
    <row r="84" spans="1:20" ht="15" hidden="1" x14ac:dyDescent="0.25">
      <c r="A84" s="398" t="s">
        <v>1154</v>
      </c>
      <c r="B84" s="398"/>
      <c r="C84" s="399" t="s">
        <v>1293</v>
      </c>
      <c r="D84" s="400" t="s">
        <v>7</v>
      </c>
      <c r="E84" s="401" t="s">
        <v>827</v>
      </c>
      <c r="F84" s="408">
        <f>+IFERROR(INDEX([4]IMPORTS!$Y:$Y,MATCH($A84,[4]IMPORTS!$C:$C,0)),"")</f>
        <v>43691</v>
      </c>
      <c r="G84" s="408">
        <f t="shared" si="14"/>
        <v>43689</v>
      </c>
      <c r="H84" s="402">
        <f>+IFERROR(INDEX([4]IMPORTS!$P:$P,MATCH($A84,[4]IMPORTS!$C:$C,0)),"")</f>
        <v>84</v>
      </c>
      <c r="I84" s="408" t="str">
        <f>+IFERROR(INDEX([4]IMPORTS!$R:$R,MATCH($A84,[4]IMPORTS!$C:$C,0)),"")</f>
        <v>CPT</v>
      </c>
      <c r="J84" s="409">
        <f>+IFERROR(INDEX([4]IMPORTS!$S:$S,MATCH($A84,[4]IMPORTS!$C:$C,0)),"")</f>
        <v>297</v>
      </c>
      <c r="K84" s="403">
        <f t="shared" si="15"/>
        <v>24948</v>
      </c>
      <c r="L84" s="403">
        <f t="shared" si="9"/>
        <v>27.442800000000002</v>
      </c>
      <c r="M84" s="403">
        <f t="shared" si="10"/>
        <v>24975.442800000001</v>
      </c>
      <c r="N84" s="404">
        <f t="shared" si="11"/>
        <v>500</v>
      </c>
      <c r="O84" s="404">
        <f t="shared" si="12"/>
        <v>3996</v>
      </c>
      <c r="P84" s="404">
        <f t="shared" si="13"/>
        <v>1032</v>
      </c>
      <c r="Q84" s="463">
        <f t="shared" si="16"/>
        <v>5528</v>
      </c>
      <c r="R84" s="464">
        <v>3.3610000000000002</v>
      </c>
      <c r="S84" s="463">
        <f t="shared" si="17"/>
        <v>18579.608</v>
      </c>
      <c r="T84" s="397" t="s">
        <v>256</v>
      </c>
    </row>
    <row r="85" spans="1:20" ht="15" hidden="1" x14ac:dyDescent="0.25">
      <c r="A85" s="398" t="s">
        <v>1186</v>
      </c>
      <c r="B85" s="398"/>
      <c r="C85" s="399" t="s">
        <v>1293</v>
      </c>
      <c r="D85" s="400" t="s">
        <v>816</v>
      </c>
      <c r="E85" s="401" t="s">
        <v>828</v>
      </c>
      <c r="F85" s="408">
        <f>+IFERROR(INDEX([4]IMPORTS!$Y:$Y,MATCH($A85,[4]IMPORTS!$C:$C,0)),"")</f>
        <v>43695</v>
      </c>
      <c r="G85" s="408">
        <f t="shared" si="14"/>
        <v>43693</v>
      </c>
      <c r="H85" s="402">
        <f>+IFERROR(INDEX([4]IMPORTS!$P:$P,MATCH($A85,[4]IMPORTS!$C:$C,0)),"")</f>
        <v>168</v>
      </c>
      <c r="I85" s="408" t="str">
        <f>+IFERROR(INDEX([4]IMPORTS!$R:$R,MATCH($A85,[4]IMPORTS!$C:$C,0)),"")</f>
        <v>CFR</v>
      </c>
      <c r="J85" s="409">
        <f>+IFERROR(INDEX([4]IMPORTS!$S:$S,MATCH($A85,[4]IMPORTS!$C:$C,0)),"")</f>
        <v>257.76</v>
      </c>
      <c r="K85" s="403">
        <f t="shared" si="15"/>
        <v>43303.68</v>
      </c>
      <c r="L85" s="403">
        <f t="shared" si="9"/>
        <v>47.634048</v>
      </c>
      <c r="M85" s="403">
        <f t="shared" si="10"/>
        <v>43351.314048</v>
      </c>
      <c r="N85" s="404">
        <f t="shared" si="11"/>
        <v>867</v>
      </c>
      <c r="O85" s="404">
        <f t="shared" si="12"/>
        <v>6936</v>
      </c>
      <c r="P85" s="404">
        <f t="shared" si="13"/>
        <v>1790</v>
      </c>
      <c r="Q85" s="463">
        <f t="shared" si="16"/>
        <v>9593</v>
      </c>
      <c r="R85" s="464">
        <v>3.3610000000000002</v>
      </c>
      <c r="S85" s="463">
        <f t="shared" si="17"/>
        <v>32242.073</v>
      </c>
      <c r="T85" s="397" t="s">
        <v>256</v>
      </c>
    </row>
    <row r="86" spans="1:20" ht="15" hidden="1" x14ac:dyDescent="0.25">
      <c r="A86" s="398" t="s">
        <v>1209</v>
      </c>
      <c r="B86" s="398"/>
      <c r="C86" s="399" t="s">
        <v>1292</v>
      </c>
      <c r="D86" s="400" t="s">
        <v>280</v>
      </c>
      <c r="E86" s="401" t="s">
        <v>827</v>
      </c>
      <c r="F86" s="408">
        <f>+IFERROR(INDEX([4]IMPORTS!$Y:$Y,MATCH($A86,[4]IMPORTS!$C:$C,0)),"")</f>
        <v>43707</v>
      </c>
      <c r="G86" s="408">
        <f t="shared" si="14"/>
        <v>43705</v>
      </c>
      <c r="H86" s="402">
        <f>+IFERROR(INDEX([4]IMPORTS!$P:$P,MATCH($A86,[4]IMPORTS!$C:$C,0)),"")</f>
        <v>514.79999999999995</v>
      </c>
      <c r="I86" s="408" t="str">
        <f>+IFERROR(INDEX([4]IMPORTS!$R:$R,MATCH($A86,[4]IMPORTS!$C:$C,0)),"")</f>
        <v>CFR</v>
      </c>
      <c r="J86" s="409">
        <f>+IFERROR(INDEX([4]IMPORTS!$S:$S,MATCH($A86,[4]IMPORTS!$C:$C,0)),"")</f>
        <v>123</v>
      </c>
      <c r="K86" s="403">
        <f t="shared" si="15"/>
        <v>63320.399999999994</v>
      </c>
      <c r="L86" s="403">
        <f t="shared" si="9"/>
        <v>69.652439999999999</v>
      </c>
      <c r="M86" s="403">
        <f t="shared" si="10"/>
        <v>63390.052439999992</v>
      </c>
      <c r="N86" s="404">
        <f t="shared" si="11"/>
        <v>1268</v>
      </c>
      <c r="O86" s="404">
        <f t="shared" si="12"/>
        <v>10142</v>
      </c>
      <c r="P86" s="404">
        <f t="shared" si="13"/>
        <v>2618</v>
      </c>
      <c r="Q86" s="463">
        <f t="shared" si="16"/>
        <v>14028</v>
      </c>
      <c r="R86" s="464">
        <v>3.3610000000000002</v>
      </c>
      <c r="S86" s="463">
        <f t="shared" si="17"/>
        <v>47148.108</v>
      </c>
      <c r="T86" s="397" t="s">
        <v>256</v>
      </c>
    </row>
    <row r="87" spans="1:20" ht="15" hidden="1" x14ac:dyDescent="0.25">
      <c r="A87" s="398" t="s">
        <v>1211</v>
      </c>
      <c r="B87" s="398"/>
      <c r="C87" s="399" t="s">
        <v>502</v>
      </c>
      <c r="D87" s="400" t="s">
        <v>7</v>
      </c>
      <c r="E87" s="401" t="s">
        <v>828</v>
      </c>
      <c r="F87" s="408">
        <f>+IFERROR(INDEX([4]IMPORTS!$Y:$Y,MATCH($A87,[4]IMPORTS!$C:$C,0)),"")</f>
        <v>43698</v>
      </c>
      <c r="G87" s="408">
        <f t="shared" si="14"/>
        <v>43696</v>
      </c>
      <c r="H87" s="402">
        <f>+IFERROR(INDEX([4]IMPORTS!$P:$P,MATCH($A87,[4]IMPORTS!$C:$C,0)),"")</f>
        <v>108</v>
      </c>
      <c r="I87" s="408" t="str">
        <f>+IFERROR(INDEX([4]IMPORTS!$R:$R,MATCH($A87,[4]IMPORTS!$C:$C,0)),"")</f>
        <v>CPT</v>
      </c>
      <c r="J87" s="409">
        <f>+IFERROR(INDEX([4]IMPORTS!$S:$S,MATCH($A87,[4]IMPORTS!$C:$C,0)),"")</f>
        <v>552</v>
      </c>
      <c r="K87" s="403">
        <f t="shared" si="15"/>
        <v>59616</v>
      </c>
      <c r="L87" s="403">
        <f t="shared" si="9"/>
        <v>65.577600000000004</v>
      </c>
      <c r="M87" s="403">
        <f t="shared" si="10"/>
        <v>59681.577599999997</v>
      </c>
      <c r="N87" s="404">
        <f t="shared" si="11"/>
        <v>1194</v>
      </c>
      <c r="O87" s="404">
        <f t="shared" si="12"/>
        <v>9549</v>
      </c>
      <c r="P87" s="404">
        <f t="shared" si="13"/>
        <v>2465</v>
      </c>
      <c r="Q87" s="463">
        <f t="shared" si="16"/>
        <v>13208</v>
      </c>
      <c r="R87" s="464">
        <v>3.3610000000000002</v>
      </c>
      <c r="S87" s="463">
        <f t="shared" si="17"/>
        <v>44392.088000000003</v>
      </c>
      <c r="T87" s="397" t="s">
        <v>256</v>
      </c>
    </row>
    <row r="88" spans="1:20" ht="15" hidden="1" x14ac:dyDescent="0.25">
      <c r="A88" s="398" t="s">
        <v>1218</v>
      </c>
      <c r="B88" s="398"/>
      <c r="C88" s="399" t="s">
        <v>3071</v>
      </c>
      <c r="D88" s="400" t="s">
        <v>1036</v>
      </c>
      <c r="E88" s="401" t="s">
        <v>828</v>
      </c>
      <c r="F88" s="408">
        <f>+IFERROR(INDEX([4]IMPORTS!$Y:$Y,MATCH($A88,[4]IMPORTS!$C:$C,0)),"")</f>
        <v>43712</v>
      </c>
      <c r="G88" s="408">
        <f t="shared" si="14"/>
        <v>43710</v>
      </c>
      <c r="H88" s="402">
        <f>+IFERROR(INDEX([4]IMPORTS!$P:$P,MATCH($A88,[4]IMPORTS!$C:$C,0)),"")</f>
        <v>500.4</v>
      </c>
      <c r="I88" s="408" t="str">
        <f>+IFERROR(INDEX([4]IMPORTS!$R:$R,MATCH($A88,[4]IMPORTS!$C:$C,0)),"")</f>
        <v>CFR</v>
      </c>
      <c r="J88" s="409">
        <f>+IFERROR(INDEX([4]IMPORTS!$S:$S,MATCH($A88,[4]IMPORTS!$C:$C,0)),"")</f>
        <v>240</v>
      </c>
      <c r="K88" s="403">
        <f t="shared" si="15"/>
        <v>120096</v>
      </c>
      <c r="L88" s="403">
        <f>+K88*0.11%</f>
        <v>132.10560000000001</v>
      </c>
      <c r="M88" s="403">
        <f>+K88+L88</f>
        <v>120228.1056</v>
      </c>
      <c r="N88" s="404">
        <f>ROUND(M88*2%,0)</f>
        <v>2405</v>
      </c>
      <c r="O88" s="404">
        <f>ROUND(M88*16%,0)</f>
        <v>19236</v>
      </c>
      <c r="P88" s="404">
        <f>ROUND((M88+N88+O88)*3.5%,0)</f>
        <v>4965</v>
      </c>
      <c r="Q88" s="463">
        <f t="shared" si="16"/>
        <v>26606</v>
      </c>
      <c r="R88" s="464">
        <v>3.3610000000000002</v>
      </c>
      <c r="S88" s="463">
        <f t="shared" si="17"/>
        <v>89422.766000000003</v>
      </c>
      <c r="T88" s="397" t="s">
        <v>256</v>
      </c>
    </row>
    <row r="89" spans="1:20" ht="15" hidden="1" x14ac:dyDescent="0.25">
      <c r="A89" s="398" t="s">
        <v>1208</v>
      </c>
      <c r="B89" s="398"/>
      <c r="C89" s="399" t="s">
        <v>1292</v>
      </c>
      <c r="D89" s="400" t="s">
        <v>280</v>
      </c>
      <c r="E89" s="401" t="s">
        <v>828</v>
      </c>
      <c r="F89" s="408">
        <f>+IFERROR(INDEX([4]IMPORTS!$Y:$Y,MATCH($A89,[4]IMPORTS!$C:$C,0)),"")</f>
        <v>43712</v>
      </c>
      <c r="G89" s="408">
        <f t="shared" si="14"/>
        <v>43710</v>
      </c>
      <c r="H89" s="402">
        <f>+IFERROR(INDEX([4]IMPORTS!$P:$P,MATCH($A89,[4]IMPORTS!$C:$C,0)),"")</f>
        <v>500.4</v>
      </c>
      <c r="I89" s="408" t="str">
        <f>+IFERROR(INDEX([4]IMPORTS!$R:$R,MATCH($A89,[4]IMPORTS!$C:$C,0)),"")</f>
        <v>CFR</v>
      </c>
      <c r="J89" s="409">
        <f>+IFERROR(INDEX([4]IMPORTS!$S:$S,MATCH($A89,[4]IMPORTS!$C:$C,0)),"")</f>
        <v>116</v>
      </c>
      <c r="K89" s="403">
        <f t="shared" si="15"/>
        <v>58046.399999999994</v>
      </c>
      <c r="L89" s="403">
        <f>+K89*0.11%</f>
        <v>63.851039999999998</v>
      </c>
      <c r="M89" s="403">
        <f>+K89+L89</f>
        <v>58110.251039999996</v>
      </c>
      <c r="N89" s="404">
        <f>ROUND(M89*2%,0)</f>
        <v>1162</v>
      </c>
      <c r="O89" s="404">
        <f>ROUND(M89*16%,0)</f>
        <v>9298</v>
      </c>
      <c r="P89" s="404">
        <f>ROUND((M89+N89+O89)*3.5%,0)</f>
        <v>2400</v>
      </c>
      <c r="Q89" s="463">
        <f t="shared" si="16"/>
        <v>12860</v>
      </c>
      <c r="R89" s="464">
        <v>3.3610000000000002</v>
      </c>
      <c r="S89" s="463">
        <f t="shared" si="17"/>
        <v>43222.46</v>
      </c>
      <c r="T89" s="397" t="s">
        <v>256</v>
      </c>
    </row>
    <row r="90" spans="1:20" ht="15" hidden="1" x14ac:dyDescent="0.25">
      <c r="A90" s="398" t="s">
        <v>1213</v>
      </c>
      <c r="B90" s="398"/>
      <c r="C90" s="399" t="s">
        <v>1309</v>
      </c>
      <c r="D90" s="400" t="s">
        <v>816</v>
      </c>
      <c r="E90" s="401" t="s">
        <v>827</v>
      </c>
      <c r="F90" s="408">
        <f>+IFERROR(INDEX([4]IMPORTS!$Y:$Y,MATCH($A90,[4]IMPORTS!$C:$C,0)),"")</f>
        <v>43718</v>
      </c>
      <c r="G90" s="408">
        <f t="shared" si="14"/>
        <v>43716</v>
      </c>
      <c r="H90" s="402">
        <f>+IFERROR(INDEX([4]IMPORTS!$P:$P,MATCH($A90,[4]IMPORTS!$C:$C,0)),"")</f>
        <v>700</v>
      </c>
      <c r="I90" s="408" t="str">
        <f>+IFERROR(INDEX([4]IMPORTS!$R:$R,MATCH($A90,[4]IMPORTS!$C:$C,0)),"")</f>
        <v>CFR</v>
      </c>
      <c r="J90" s="409">
        <f>+IFERROR(INDEX([4]IMPORTS!$S:$S,MATCH($A90,[4]IMPORTS!$C:$C,0)),"")</f>
        <v>240</v>
      </c>
      <c r="K90" s="403">
        <f t="shared" si="15"/>
        <v>168000</v>
      </c>
      <c r="L90" s="403">
        <f>+K90*0.11%</f>
        <v>184.8</v>
      </c>
      <c r="M90" s="403">
        <f>+K90+L90</f>
        <v>168184.8</v>
      </c>
      <c r="N90" s="404">
        <f>ROUND(M90*2%,0)</f>
        <v>3364</v>
      </c>
      <c r="O90" s="404">
        <f>ROUND(M90*16%,0)</f>
        <v>26910</v>
      </c>
      <c r="P90" s="404">
        <f>ROUND((M90+N90+O90)*3.5%,0)</f>
        <v>6946</v>
      </c>
      <c r="Q90" s="463">
        <f t="shared" si="16"/>
        <v>37220</v>
      </c>
      <c r="R90" s="464">
        <v>3.3610000000000002</v>
      </c>
      <c r="S90" s="463">
        <f t="shared" si="17"/>
        <v>125096.42000000001</v>
      </c>
      <c r="T90" s="397" t="s">
        <v>256</v>
      </c>
    </row>
    <row r="91" spans="1:20" ht="15" hidden="1" x14ac:dyDescent="0.25">
      <c r="A91" s="398" t="s">
        <v>1212</v>
      </c>
      <c r="B91" s="398"/>
      <c r="C91" s="399" t="s">
        <v>502</v>
      </c>
      <c r="D91" s="400" t="s">
        <v>7</v>
      </c>
      <c r="E91" s="401" t="s">
        <v>827</v>
      </c>
      <c r="F91" s="408">
        <f>+IFERROR(INDEX([4]IMPORTS!$Y:$Y,MATCH($A91,[4]IMPORTS!$C:$C,0)),"")</f>
        <v>43726</v>
      </c>
      <c r="G91" s="408">
        <f t="shared" si="14"/>
        <v>43724</v>
      </c>
      <c r="H91" s="402">
        <f>+IFERROR(INDEX([4]IMPORTS!$P:$P,MATCH($A91,[4]IMPORTS!$C:$C,0)),"")</f>
        <v>324</v>
      </c>
      <c r="I91" s="408" t="str">
        <f>+IFERROR(INDEX([4]IMPORTS!$R:$R,MATCH($A91,[4]IMPORTS!$C:$C,0)),"")</f>
        <v>CPT</v>
      </c>
      <c r="J91" s="409">
        <f>+IFERROR(INDEX([4]IMPORTS!$S:$S,MATCH($A91,[4]IMPORTS!$C:$C,0)),"")</f>
        <v>557</v>
      </c>
      <c r="K91" s="403">
        <f t="shared" si="15"/>
        <v>180468</v>
      </c>
      <c r="L91" s="403">
        <f t="shared" si="9"/>
        <v>198.51480000000001</v>
      </c>
      <c r="M91" s="403">
        <f t="shared" si="10"/>
        <v>180666.5148</v>
      </c>
      <c r="N91" s="404">
        <f t="shared" si="11"/>
        <v>3613</v>
      </c>
      <c r="O91" s="404">
        <f t="shared" si="12"/>
        <v>28907</v>
      </c>
      <c r="P91" s="404">
        <f t="shared" si="13"/>
        <v>7462</v>
      </c>
      <c r="Q91" s="463">
        <f t="shared" si="16"/>
        <v>39982</v>
      </c>
      <c r="R91" s="464">
        <v>3.3610000000000002</v>
      </c>
      <c r="S91" s="463">
        <f t="shared" si="17"/>
        <v>134379.50200000001</v>
      </c>
      <c r="T91" s="397" t="s">
        <v>256</v>
      </c>
    </row>
    <row r="92" spans="1:20" ht="15" hidden="1" x14ac:dyDescent="0.25">
      <c r="A92" s="398" t="s">
        <v>1273</v>
      </c>
      <c r="B92" s="398"/>
      <c r="C92" s="399" t="s">
        <v>1274</v>
      </c>
      <c r="D92" s="400" t="s">
        <v>277</v>
      </c>
      <c r="E92" s="401" t="s">
        <v>828</v>
      </c>
      <c r="F92" s="408">
        <f>+IFERROR(INDEX([4]IMPORTS!$Y:$Y,MATCH($A92,[4]IMPORTS!$C:$C,0)),"")</f>
        <v>43721</v>
      </c>
      <c r="G92" s="408">
        <f t="shared" si="14"/>
        <v>43719</v>
      </c>
      <c r="H92" s="402">
        <f>+IFERROR(INDEX([4]IMPORTS!$P:$P,MATCH($A92,[4]IMPORTS!$C:$C,0)),"")</f>
        <v>115.2</v>
      </c>
      <c r="I92" s="408" t="str">
        <f>+IFERROR(INDEX([4]IMPORTS!$R:$R,MATCH($A92,[4]IMPORTS!$C:$C,0)),"")</f>
        <v>CFR</v>
      </c>
      <c r="J92" s="409">
        <f>+IFERROR(INDEX([4]IMPORTS!$S:$S,MATCH($A92,[4]IMPORTS!$C:$C,0)),"")</f>
        <v>340</v>
      </c>
      <c r="K92" s="403">
        <f t="shared" si="15"/>
        <v>39168</v>
      </c>
      <c r="L92" s="403">
        <f t="shared" si="9"/>
        <v>43.084800000000001</v>
      </c>
      <c r="M92" s="403">
        <f t="shared" si="10"/>
        <v>39211.084799999997</v>
      </c>
      <c r="N92" s="404">
        <f t="shared" si="11"/>
        <v>784</v>
      </c>
      <c r="O92" s="404">
        <f t="shared" si="12"/>
        <v>6274</v>
      </c>
      <c r="P92" s="404">
        <f t="shared" si="13"/>
        <v>1619</v>
      </c>
      <c r="Q92" s="463">
        <f t="shared" si="16"/>
        <v>8677</v>
      </c>
      <c r="R92" s="464">
        <v>3.3610000000000002</v>
      </c>
      <c r="S92" s="463">
        <f t="shared" si="17"/>
        <v>29163.397000000001</v>
      </c>
      <c r="T92" s="397" t="s">
        <v>256</v>
      </c>
    </row>
    <row r="93" spans="1:20" ht="15" hidden="1" x14ac:dyDescent="0.25">
      <c r="A93" s="398" t="s">
        <v>1319</v>
      </c>
      <c r="B93" s="398"/>
      <c r="C93" s="399" t="s">
        <v>1292</v>
      </c>
      <c r="D93" s="400" t="s">
        <v>280</v>
      </c>
      <c r="E93" s="401" t="s">
        <v>827</v>
      </c>
      <c r="F93" s="408">
        <f>+IFERROR(INDEX([4]IMPORTS!$Y:$Y,MATCH($A93,[4]IMPORTS!$C:$C,0)),"")</f>
        <v>43816</v>
      </c>
      <c r="G93" s="408">
        <f t="shared" si="14"/>
        <v>43814</v>
      </c>
      <c r="H93" s="402">
        <f>+IFERROR(INDEX([4]IMPORTS!$P:$P,MATCH($A93,[4]IMPORTS!$C:$C,0)),"")</f>
        <v>286</v>
      </c>
      <c r="I93" s="408" t="str">
        <f>+IFERROR(INDEX([4]IMPORTS!$R:$R,MATCH($A93,[4]IMPORTS!$C:$C,0)),"")</f>
        <v>CFR</v>
      </c>
      <c r="J93" s="409">
        <f>+IFERROR(INDEX([4]IMPORTS!$S:$S,MATCH($A93,[4]IMPORTS!$C:$C,0)),"")</f>
        <v>123</v>
      </c>
      <c r="K93" s="403">
        <f t="shared" si="15"/>
        <v>35178</v>
      </c>
      <c r="L93" s="403">
        <f t="shared" si="9"/>
        <v>38.695800000000006</v>
      </c>
      <c r="M93" s="403">
        <f t="shared" si="10"/>
        <v>35216.695800000001</v>
      </c>
      <c r="N93" s="404">
        <f t="shared" si="11"/>
        <v>704</v>
      </c>
      <c r="O93" s="404">
        <f t="shared" si="12"/>
        <v>5635</v>
      </c>
      <c r="P93" s="404">
        <f t="shared" si="13"/>
        <v>1454</v>
      </c>
      <c r="Q93" s="463">
        <f t="shared" si="16"/>
        <v>7793</v>
      </c>
      <c r="R93" s="464">
        <v>3.3610000000000002</v>
      </c>
      <c r="S93" s="463">
        <f t="shared" si="17"/>
        <v>26192.273000000001</v>
      </c>
      <c r="T93" s="397" t="s">
        <v>256</v>
      </c>
    </row>
    <row r="94" spans="1:20" ht="15" hidden="1" x14ac:dyDescent="0.25">
      <c r="A94" s="398" t="s">
        <v>1445</v>
      </c>
      <c r="B94" s="398"/>
      <c r="C94" s="399" t="s">
        <v>1292</v>
      </c>
      <c r="D94" s="400" t="s">
        <v>1036</v>
      </c>
      <c r="E94" s="401" t="s">
        <v>828</v>
      </c>
      <c r="F94" s="408">
        <f>+IFERROR(INDEX([4]IMPORTS!$Y:$Y,MATCH($A94,[4]IMPORTS!$C:$C,0)),"")</f>
        <v>43810</v>
      </c>
      <c r="G94" s="408">
        <f t="shared" si="14"/>
        <v>43808</v>
      </c>
      <c r="H94" s="402">
        <f>+IFERROR(INDEX([4]IMPORTS!$P:$P,MATCH($A94,[4]IMPORTS!$C:$C,0)),"")</f>
        <v>189</v>
      </c>
      <c r="I94" s="408" t="str">
        <f>+IFERROR(INDEX([4]IMPORTS!$R:$R,MATCH($A94,[4]IMPORTS!$C:$C,0)),"")</f>
        <v>CFR</v>
      </c>
      <c r="J94" s="409">
        <f>+IFERROR(INDEX([4]IMPORTS!$S:$S,MATCH($A94,[4]IMPORTS!$C:$C,0)),"")</f>
        <v>112</v>
      </c>
      <c r="K94" s="403">
        <f t="shared" si="15"/>
        <v>21168</v>
      </c>
      <c r="L94" s="403">
        <f t="shared" si="9"/>
        <v>23.284800000000001</v>
      </c>
      <c r="M94" s="403">
        <f t="shared" si="10"/>
        <v>21191.284800000001</v>
      </c>
      <c r="N94" s="404">
        <f t="shared" si="11"/>
        <v>424</v>
      </c>
      <c r="O94" s="404">
        <f t="shared" si="12"/>
        <v>3391</v>
      </c>
      <c r="P94" s="404">
        <f t="shared" si="13"/>
        <v>875</v>
      </c>
      <c r="Q94" s="463">
        <f t="shared" si="16"/>
        <v>4690</v>
      </c>
      <c r="R94" s="464">
        <v>3.3610000000000002</v>
      </c>
      <c r="S94" s="463">
        <f t="shared" si="17"/>
        <v>15763.09</v>
      </c>
      <c r="T94" s="397" t="s">
        <v>256</v>
      </c>
    </row>
    <row r="95" spans="1:20" ht="15" hidden="1" x14ac:dyDescent="0.25">
      <c r="A95" s="398" t="s">
        <v>1357</v>
      </c>
      <c r="B95" s="398"/>
      <c r="C95" s="399" t="s">
        <v>1293</v>
      </c>
      <c r="D95" s="400" t="s">
        <v>16</v>
      </c>
      <c r="E95" s="401" t="s">
        <v>828</v>
      </c>
      <c r="F95" s="408">
        <f>+IFERROR(INDEX([4]IMPORTS!$Y:$Y,MATCH($A95,[4]IMPORTS!$C:$C,0)),"")</f>
        <v>43831</v>
      </c>
      <c r="G95" s="408">
        <f t="shared" si="14"/>
        <v>43829</v>
      </c>
      <c r="H95" s="402">
        <f>+IFERROR(INDEX([4]IMPORTS!$P:$P,MATCH($A95,[4]IMPORTS!$C:$C,0)),"")</f>
        <v>200</v>
      </c>
      <c r="I95" s="408" t="str">
        <f>+IFERROR(INDEX([4]IMPORTS!$R:$R,MATCH($A95,[4]IMPORTS!$C:$C,0)),"")</f>
        <v>CIF</v>
      </c>
      <c r="J95" s="409">
        <f>+IFERROR(INDEX([4]IMPORTS!$S:$S,MATCH($A95,[4]IMPORTS!$C:$C,0)),"")</f>
        <v>252</v>
      </c>
      <c r="K95" s="403">
        <f t="shared" si="15"/>
        <v>50400</v>
      </c>
      <c r="L95" s="403">
        <f t="shared" si="9"/>
        <v>55.440000000000005</v>
      </c>
      <c r="M95" s="403">
        <f t="shared" si="10"/>
        <v>50455.44</v>
      </c>
      <c r="N95" s="404">
        <f t="shared" si="11"/>
        <v>1009</v>
      </c>
      <c r="O95" s="404">
        <f t="shared" si="12"/>
        <v>8073</v>
      </c>
      <c r="P95" s="404">
        <f t="shared" si="13"/>
        <v>2084</v>
      </c>
      <c r="Q95" s="463">
        <f t="shared" si="16"/>
        <v>11166</v>
      </c>
      <c r="R95" s="464">
        <v>3.3610000000000002</v>
      </c>
      <c r="S95" s="463">
        <f t="shared" si="17"/>
        <v>37528.925999999999</v>
      </c>
      <c r="T95" s="397" t="s">
        <v>256</v>
      </c>
    </row>
    <row r="96" spans="1:20" ht="15" hidden="1" x14ac:dyDescent="0.25">
      <c r="A96" s="398" t="s">
        <v>1358</v>
      </c>
      <c r="B96" s="398"/>
      <c r="C96" s="399" t="s">
        <v>1293</v>
      </c>
      <c r="D96" s="400" t="s">
        <v>16</v>
      </c>
      <c r="E96" s="401" t="s">
        <v>827</v>
      </c>
      <c r="F96" s="408">
        <f>+IFERROR(INDEX([4]IMPORTS!$Y:$Y,MATCH($A96,[4]IMPORTS!$C:$C,0)),"")</f>
        <v>43830</v>
      </c>
      <c r="G96" s="408">
        <f t="shared" si="14"/>
        <v>43828</v>
      </c>
      <c r="H96" s="402">
        <f>+IFERROR(INDEX([4]IMPORTS!$P:$P,MATCH($A96,[4]IMPORTS!$C:$C,0)),"")</f>
        <v>216</v>
      </c>
      <c r="I96" s="408" t="str">
        <f>+IFERROR(INDEX([4]IMPORTS!$R:$R,MATCH($A96,[4]IMPORTS!$C:$C,0)),"")</f>
        <v>CIF</v>
      </c>
      <c r="J96" s="409">
        <f>+IFERROR(INDEX([4]IMPORTS!$S:$S,MATCH($A96,[4]IMPORTS!$C:$C,0)),"")</f>
        <v>260</v>
      </c>
      <c r="K96" s="403">
        <f t="shared" si="15"/>
        <v>56160</v>
      </c>
      <c r="L96" s="403">
        <f t="shared" si="9"/>
        <v>61.776000000000003</v>
      </c>
      <c r="M96" s="403">
        <f t="shared" si="10"/>
        <v>56221.775999999998</v>
      </c>
      <c r="N96" s="404">
        <f t="shared" si="11"/>
        <v>1124</v>
      </c>
      <c r="O96" s="404">
        <f t="shared" si="12"/>
        <v>8995</v>
      </c>
      <c r="P96" s="404">
        <f t="shared" si="13"/>
        <v>2322</v>
      </c>
      <c r="Q96" s="463">
        <f t="shared" si="16"/>
        <v>12441</v>
      </c>
      <c r="R96" s="464">
        <v>3.3610000000000002</v>
      </c>
      <c r="S96" s="463">
        <f t="shared" si="17"/>
        <v>41814.201000000001</v>
      </c>
      <c r="T96" s="397" t="s">
        <v>256</v>
      </c>
    </row>
    <row r="97" spans="1:20" ht="15" hidden="1" x14ac:dyDescent="0.25">
      <c r="A97" s="398" t="s">
        <v>1375</v>
      </c>
      <c r="B97" s="398"/>
      <c r="C97" s="399" t="s">
        <v>1274</v>
      </c>
      <c r="D97" s="400" t="s">
        <v>277</v>
      </c>
      <c r="E97" s="401" t="s">
        <v>828</v>
      </c>
      <c r="F97" s="408">
        <f>+IFERROR(INDEX([4]IMPORTS!$Y:$Y,MATCH($A97,[4]IMPORTS!$C:$C,0)),"")</f>
        <v>43826</v>
      </c>
      <c r="G97" s="408">
        <f t="shared" si="14"/>
        <v>43824</v>
      </c>
      <c r="H97" s="402">
        <f>+IFERROR(INDEX([4]IMPORTS!$P:$P,MATCH($A97,[4]IMPORTS!$C:$C,0)),"")</f>
        <v>316.8</v>
      </c>
      <c r="I97" s="408" t="str">
        <f>+IFERROR(INDEX([4]IMPORTS!$R:$R,MATCH($A97,[4]IMPORTS!$C:$C,0)),"")</f>
        <v>CFR</v>
      </c>
      <c r="J97" s="409">
        <f>+IFERROR(INDEX([4]IMPORTS!$S:$S,MATCH($A97,[4]IMPORTS!$C:$C,0)),"")</f>
        <v>312</v>
      </c>
      <c r="K97" s="403">
        <f t="shared" si="15"/>
        <v>98841.600000000006</v>
      </c>
      <c r="L97" s="403">
        <f t="shared" si="9"/>
        <v>108.72576000000001</v>
      </c>
      <c r="M97" s="403">
        <f t="shared" si="10"/>
        <v>98950.325760000007</v>
      </c>
      <c r="N97" s="404">
        <f t="shared" si="11"/>
        <v>1979</v>
      </c>
      <c r="O97" s="404">
        <f t="shared" si="12"/>
        <v>15832</v>
      </c>
      <c r="P97" s="404">
        <f t="shared" si="13"/>
        <v>4087</v>
      </c>
      <c r="Q97" s="463">
        <f t="shared" si="16"/>
        <v>21898</v>
      </c>
      <c r="R97" s="464">
        <v>3.3610000000000002</v>
      </c>
      <c r="S97" s="463">
        <f t="shared" si="17"/>
        <v>73599.178</v>
      </c>
      <c r="T97" s="397" t="s">
        <v>256</v>
      </c>
    </row>
    <row r="98" spans="1:20" ht="15" hidden="1" x14ac:dyDescent="0.25">
      <c r="A98" s="398" t="s">
        <v>1376</v>
      </c>
      <c r="B98" s="398"/>
      <c r="C98" s="399" t="s">
        <v>1274</v>
      </c>
      <c r="D98" s="400" t="s">
        <v>277</v>
      </c>
      <c r="E98" s="401" t="s">
        <v>828</v>
      </c>
      <c r="F98" s="408">
        <f>+IFERROR(INDEX([4]IMPORTS!$Y:$Y,MATCH($A98,[4]IMPORTS!$C:$C,0)),"")</f>
        <v>43819</v>
      </c>
      <c r="G98" s="408">
        <f t="shared" si="14"/>
        <v>43817</v>
      </c>
      <c r="H98" s="402">
        <f>+IFERROR(INDEX([4]IMPORTS!$P:$P,MATCH($A98,[4]IMPORTS!$C:$C,0)),"")</f>
        <v>316.8</v>
      </c>
      <c r="I98" s="408" t="str">
        <f>+IFERROR(INDEX([4]IMPORTS!$R:$R,MATCH($A98,[4]IMPORTS!$C:$C,0)),"")</f>
        <v>CFR</v>
      </c>
      <c r="J98" s="409">
        <f>+IFERROR(INDEX([4]IMPORTS!$S:$S,MATCH($A98,[4]IMPORTS!$C:$C,0)),"")</f>
        <v>312</v>
      </c>
      <c r="K98" s="403">
        <f t="shared" si="15"/>
        <v>98841.600000000006</v>
      </c>
      <c r="L98" s="403">
        <f t="shared" si="9"/>
        <v>108.72576000000001</v>
      </c>
      <c r="M98" s="403">
        <f t="shared" si="10"/>
        <v>98950.325760000007</v>
      </c>
      <c r="N98" s="404">
        <f t="shared" si="11"/>
        <v>1979</v>
      </c>
      <c r="O98" s="404">
        <f t="shared" si="12"/>
        <v>15832</v>
      </c>
      <c r="P98" s="404">
        <f t="shared" si="13"/>
        <v>4087</v>
      </c>
      <c r="Q98" s="463">
        <f t="shared" si="16"/>
        <v>21898</v>
      </c>
      <c r="R98" s="464">
        <v>3.3610000000000002</v>
      </c>
      <c r="S98" s="463">
        <f t="shared" si="17"/>
        <v>73599.178</v>
      </c>
      <c r="T98" s="397" t="s">
        <v>256</v>
      </c>
    </row>
    <row r="99" spans="1:20" ht="15" hidden="1" x14ac:dyDescent="0.25">
      <c r="A99" s="398" t="s">
        <v>1378</v>
      </c>
      <c r="B99" s="398"/>
      <c r="C99" s="399" t="s">
        <v>1384</v>
      </c>
      <c r="D99" s="400" t="s">
        <v>1385</v>
      </c>
      <c r="E99" s="401" t="s">
        <v>828</v>
      </c>
      <c r="F99" s="408">
        <f>+IFERROR(INDEX([4]IMPORTS!$Y:$Y,MATCH($A99,[4]IMPORTS!$C:$C,0)),"")</f>
        <v>43805</v>
      </c>
      <c r="G99" s="408">
        <f t="shared" si="14"/>
        <v>43803</v>
      </c>
      <c r="H99" s="402">
        <f>+IFERROR(INDEX([4]IMPORTS!$P:$P,MATCH($A99,[4]IMPORTS!$C:$C,0)),"")</f>
        <v>0.5</v>
      </c>
      <c r="I99" s="408" t="str">
        <f>+IFERROR(INDEX([4]IMPORTS!$R:$R,MATCH($A99,[4]IMPORTS!$C:$C,0)),"")</f>
        <v>CIF</v>
      </c>
      <c r="J99" s="409">
        <f>+IFERROR(INDEX([4]IMPORTS!$S:$S,MATCH($A99,[4]IMPORTS!$C:$C,0)),"")</f>
        <v>3933.5</v>
      </c>
      <c r="K99" s="403">
        <f t="shared" si="15"/>
        <v>1966.75</v>
      </c>
      <c r="L99" s="403">
        <f t="shared" si="9"/>
        <v>2.1634250000000002</v>
      </c>
      <c r="M99" s="403">
        <f t="shared" si="10"/>
        <v>1968.913425</v>
      </c>
      <c r="N99" s="404">
        <f t="shared" si="11"/>
        <v>39</v>
      </c>
      <c r="O99" s="404">
        <f t="shared" si="12"/>
        <v>315</v>
      </c>
      <c r="P99" s="404">
        <f t="shared" si="13"/>
        <v>81</v>
      </c>
      <c r="Q99" s="463">
        <f t="shared" si="16"/>
        <v>435</v>
      </c>
      <c r="R99" s="464">
        <v>3.3610000000000002</v>
      </c>
      <c r="S99" s="463">
        <f t="shared" si="17"/>
        <v>1462.0350000000001</v>
      </c>
      <c r="T99" s="397" t="s">
        <v>256</v>
      </c>
    </row>
    <row r="100" spans="1:20" ht="15" hidden="1" x14ac:dyDescent="0.25">
      <c r="A100" s="398" t="s">
        <v>1383</v>
      </c>
      <c r="B100" s="398"/>
      <c r="C100" s="399" t="s">
        <v>1291</v>
      </c>
      <c r="D100" s="400" t="s">
        <v>50</v>
      </c>
      <c r="E100" s="401" t="s">
        <v>827</v>
      </c>
      <c r="F100" s="408">
        <f>+IFERROR(INDEX([4]IMPORTS!$Y:$Y,MATCH($A100,[4]IMPORTS!$C:$C,0)),"")</f>
        <v>43838</v>
      </c>
      <c r="G100" s="408">
        <f t="shared" si="14"/>
        <v>43836</v>
      </c>
      <c r="H100" s="402">
        <f>+IFERROR(INDEX([4]IMPORTS!$P:$P,MATCH($A100,[4]IMPORTS!$C:$C,0)),"")</f>
        <v>264</v>
      </c>
      <c r="I100" s="408" t="str">
        <f>+IFERROR(INDEX([4]IMPORTS!$R:$R,MATCH($A100,[4]IMPORTS!$C:$C,0)),"")</f>
        <v>CFR</v>
      </c>
      <c r="J100" s="409">
        <f>+IFERROR(INDEX([4]IMPORTS!$S:$S,MATCH($A100,[4]IMPORTS!$C:$C,0)),"")</f>
        <v>327</v>
      </c>
      <c r="K100" s="403">
        <f t="shared" si="15"/>
        <v>86328</v>
      </c>
      <c r="L100" s="403">
        <f t="shared" si="9"/>
        <v>94.960800000000006</v>
      </c>
      <c r="M100" s="403">
        <f t="shared" si="10"/>
        <v>86422.960800000001</v>
      </c>
      <c r="N100" s="404">
        <f t="shared" si="11"/>
        <v>1728</v>
      </c>
      <c r="O100" s="404">
        <f t="shared" si="12"/>
        <v>13828</v>
      </c>
      <c r="P100" s="404">
        <f t="shared" si="13"/>
        <v>3569</v>
      </c>
      <c r="Q100" s="463">
        <f t="shared" si="16"/>
        <v>19125</v>
      </c>
      <c r="R100" s="464">
        <v>3.3610000000000002</v>
      </c>
      <c r="S100" s="463">
        <f t="shared" si="17"/>
        <v>64279.125000000007</v>
      </c>
      <c r="T100" s="397" t="s">
        <v>256</v>
      </c>
    </row>
    <row r="101" spans="1:20" ht="15" hidden="1" x14ac:dyDescent="0.25">
      <c r="A101" s="398" t="s">
        <v>1421</v>
      </c>
      <c r="B101" s="398"/>
      <c r="C101" s="399" t="s">
        <v>1325</v>
      </c>
      <c r="D101" s="400" t="s">
        <v>928</v>
      </c>
      <c r="E101" s="401" t="s">
        <v>828</v>
      </c>
      <c r="F101" s="408">
        <f>+IFERROR(INDEX([4]IMPORTS!$Y:$Y,MATCH($A101,[4]IMPORTS!$C:$C,0)),"")</f>
        <v>43812</v>
      </c>
      <c r="G101" s="408">
        <f t="shared" si="14"/>
        <v>43810</v>
      </c>
      <c r="H101" s="402">
        <f>+IFERROR(INDEX([4]IMPORTS!$P:$P,MATCH($A101,[4]IMPORTS!$C:$C,0)),"")</f>
        <v>408</v>
      </c>
      <c r="I101" s="408" t="str">
        <f>+IFERROR(INDEX([4]IMPORTS!$R:$R,MATCH($A101,[4]IMPORTS!$C:$C,0)),"")</f>
        <v>CFR</v>
      </c>
      <c r="J101" s="409">
        <f>+IFERROR(INDEX([4]IMPORTS!$S:$S,MATCH($A101,[4]IMPORTS!$C:$C,0)),"")</f>
        <v>870</v>
      </c>
      <c r="K101" s="403">
        <f t="shared" si="15"/>
        <v>354960</v>
      </c>
      <c r="L101" s="403">
        <f t="shared" si="9"/>
        <v>390.45600000000002</v>
      </c>
      <c r="M101" s="403">
        <f t="shared" si="10"/>
        <v>355350.45600000001</v>
      </c>
      <c r="N101" s="404">
        <f t="shared" si="11"/>
        <v>7107</v>
      </c>
      <c r="O101" s="404">
        <f t="shared" si="12"/>
        <v>56856</v>
      </c>
      <c r="P101" s="404">
        <f t="shared" si="13"/>
        <v>14676</v>
      </c>
      <c r="Q101" s="463">
        <f t="shared" si="16"/>
        <v>78639</v>
      </c>
      <c r="R101" s="464">
        <v>3.3610000000000002</v>
      </c>
      <c r="S101" s="463">
        <f t="shared" si="17"/>
        <v>264305.679</v>
      </c>
      <c r="T101" s="397" t="s">
        <v>256</v>
      </c>
    </row>
    <row r="102" spans="1:20" ht="15" hidden="1" x14ac:dyDescent="0.25">
      <c r="A102" s="398" t="s">
        <v>1422</v>
      </c>
      <c r="B102" s="398"/>
      <c r="C102" s="399" t="s">
        <v>1325</v>
      </c>
      <c r="D102" s="400" t="s">
        <v>928</v>
      </c>
      <c r="E102" s="401" t="s">
        <v>827</v>
      </c>
      <c r="F102" s="408">
        <f>+IFERROR(INDEX([4]IMPORTS!$Y:$Y,MATCH($A102,[4]IMPORTS!$C:$C,0)),"")</f>
        <v>43826</v>
      </c>
      <c r="G102" s="408">
        <f t="shared" si="14"/>
        <v>43824</v>
      </c>
      <c r="H102" s="402">
        <f>+IFERROR(INDEX([4]IMPORTS!$P:$P,MATCH($A102,[4]IMPORTS!$C:$C,0)),"")</f>
        <v>408</v>
      </c>
      <c r="I102" s="408" t="str">
        <f>+IFERROR(INDEX([4]IMPORTS!$R:$R,MATCH($A102,[4]IMPORTS!$C:$C,0)),"")</f>
        <v>CFR</v>
      </c>
      <c r="J102" s="409">
        <f>+IFERROR(INDEX([4]IMPORTS!$S:$S,MATCH($A102,[4]IMPORTS!$C:$C,0)),"")</f>
        <v>880</v>
      </c>
      <c r="K102" s="403">
        <f t="shared" si="15"/>
        <v>359040</v>
      </c>
      <c r="L102" s="403">
        <f t="shared" si="9"/>
        <v>394.94400000000002</v>
      </c>
      <c r="M102" s="403">
        <f t="shared" si="10"/>
        <v>359434.94400000002</v>
      </c>
      <c r="N102" s="404">
        <f t="shared" si="11"/>
        <v>7189</v>
      </c>
      <c r="O102" s="404">
        <f t="shared" si="12"/>
        <v>57510</v>
      </c>
      <c r="P102" s="404">
        <f t="shared" si="13"/>
        <v>14845</v>
      </c>
      <c r="Q102" s="463">
        <f t="shared" si="16"/>
        <v>79544</v>
      </c>
      <c r="R102" s="464">
        <v>3.3610000000000002</v>
      </c>
      <c r="S102" s="463">
        <f t="shared" si="17"/>
        <v>267347.38400000002</v>
      </c>
      <c r="T102" s="397" t="s">
        <v>256</v>
      </c>
    </row>
    <row r="103" spans="1:20" ht="15" hidden="1" x14ac:dyDescent="0.25">
      <c r="A103" s="398" t="s">
        <v>1446</v>
      </c>
      <c r="B103" s="398"/>
      <c r="C103" s="399" t="s">
        <v>1292</v>
      </c>
      <c r="D103" s="400" t="s">
        <v>1036</v>
      </c>
      <c r="E103" s="401" t="s">
        <v>828</v>
      </c>
      <c r="F103" s="408">
        <f>+IFERROR(INDEX([4]IMPORTS!$Y:$Y,MATCH($A103,[4]IMPORTS!$C:$C,0)),"")</f>
        <v>43845</v>
      </c>
      <c r="G103" s="408">
        <f t="shared" si="14"/>
        <v>43843</v>
      </c>
      <c r="H103" s="402">
        <f>+IFERROR(INDEX([4]IMPORTS!$P:$P,MATCH($A103,[4]IMPORTS!$C:$C,0)),"")</f>
        <v>918.75</v>
      </c>
      <c r="I103" s="408" t="str">
        <f>+IFERROR(INDEX([4]IMPORTS!$R:$R,MATCH($A103,[4]IMPORTS!$C:$C,0)),"")</f>
        <v>CFR</v>
      </c>
      <c r="J103" s="409">
        <f>+IFERROR(INDEX([4]IMPORTS!$S:$S,MATCH($A103,[4]IMPORTS!$C:$C,0)),"")</f>
        <v>112</v>
      </c>
      <c r="K103" s="403">
        <f t="shared" si="15"/>
        <v>102900</v>
      </c>
      <c r="L103" s="403">
        <f t="shared" si="9"/>
        <v>113.19000000000001</v>
      </c>
      <c r="M103" s="403">
        <f t="shared" si="10"/>
        <v>103013.19</v>
      </c>
      <c r="N103" s="404">
        <f t="shared" si="11"/>
        <v>2060</v>
      </c>
      <c r="O103" s="404">
        <f t="shared" si="12"/>
        <v>16482</v>
      </c>
      <c r="P103" s="404">
        <f t="shared" si="13"/>
        <v>4254</v>
      </c>
      <c r="Q103" s="463">
        <f t="shared" si="16"/>
        <v>22796</v>
      </c>
      <c r="R103" s="464">
        <v>3.3610000000000002</v>
      </c>
      <c r="S103" s="463">
        <f t="shared" si="17"/>
        <v>76617.356</v>
      </c>
      <c r="T103" s="397" t="s">
        <v>256</v>
      </c>
    </row>
    <row r="104" spans="1:20" ht="15" hidden="1" x14ac:dyDescent="0.25">
      <c r="A104" s="398" t="s">
        <v>1377</v>
      </c>
      <c r="B104" s="398"/>
      <c r="C104" s="399" t="s">
        <v>1293</v>
      </c>
      <c r="D104" s="400" t="s">
        <v>1294</v>
      </c>
      <c r="E104" s="401" t="s">
        <v>829</v>
      </c>
      <c r="F104" s="408">
        <f>+IFERROR(INDEX([4]IMPORTS!$Y:$Y,MATCH($A104,[4]IMPORTS!$C:$C,0)),"")</f>
        <v>43837</v>
      </c>
      <c r="G104" s="408">
        <f t="shared" si="14"/>
        <v>43835</v>
      </c>
      <c r="H104" s="402">
        <f>+IFERROR(INDEX([4]IMPORTS!$P:$P,MATCH($A104,[4]IMPORTS!$C:$C,0)),"")</f>
        <v>162</v>
      </c>
      <c r="I104" s="408" t="str">
        <f>+IFERROR(INDEX([4]IMPORTS!$R:$R,MATCH($A104,[4]IMPORTS!$C:$C,0)),"")</f>
        <v>CFR</v>
      </c>
      <c r="J104" s="409">
        <f>+IFERROR(INDEX([4]IMPORTS!$S:$S,MATCH($A104,[4]IMPORTS!$C:$C,0)),"")</f>
        <v>277</v>
      </c>
      <c r="K104" s="403">
        <f t="shared" si="15"/>
        <v>44874</v>
      </c>
      <c r="L104" s="403">
        <f t="shared" si="9"/>
        <v>49.361400000000003</v>
      </c>
      <c r="M104" s="403">
        <f t="shared" si="10"/>
        <v>44923.361400000002</v>
      </c>
      <c r="N104" s="404">
        <f t="shared" si="11"/>
        <v>898</v>
      </c>
      <c r="O104" s="404">
        <f t="shared" si="12"/>
        <v>7188</v>
      </c>
      <c r="P104" s="404">
        <f t="shared" si="13"/>
        <v>1855</v>
      </c>
      <c r="Q104" s="463">
        <f t="shared" si="16"/>
        <v>9941</v>
      </c>
      <c r="R104" s="464">
        <v>3.3610000000000002</v>
      </c>
      <c r="S104" s="463">
        <f t="shared" si="17"/>
        <v>33411.701000000001</v>
      </c>
      <c r="T104" s="397" t="s">
        <v>256</v>
      </c>
    </row>
    <row r="105" spans="1:20" ht="15" hidden="1" x14ac:dyDescent="0.25">
      <c r="A105" s="398" t="s">
        <v>1382</v>
      </c>
      <c r="B105" s="398"/>
      <c r="C105" s="399" t="s">
        <v>1291</v>
      </c>
      <c r="D105" s="400" t="s">
        <v>50</v>
      </c>
      <c r="E105" s="401" t="s">
        <v>828</v>
      </c>
      <c r="F105" s="408">
        <f>+IFERROR(INDEX([4]IMPORTS!$Y:$Y,MATCH($A105,[4]IMPORTS!$C:$C,0)),"")</f>
        <v>43833</v>
      </c>
      <c r="G105" s="408">
        <f t="shared" si="14"/>
        <v>43831</v>
      </c>
      <c r="H105" s="402">
        <f>+IFERROR(INDEX([4]IMPORTS!$P:$P,MATCH($A105,[4]IMPORTS!$C:$C,0)),"")</f>
        <v>264</v>
      </c>
      <c r="I105" s="408" t="str">
        <f>+IFERROR(INDEX([4]IMPORTS!$R:$R,MATCH($A105,[4]IMPORTS!$C:$C,0)),"")</f>
        <v>CFR</v>
      </c>
      <c r="J105" s="409">
        <f>+IFERROR(INDEX([4]IMPORTS!$S:$S,MATCH($A105,[4]IMPORTS!$C:$C,0)),"")</f>
        <v>327</v>
      </c>
      <c r="K105" s="403">
        <f t="shared" si="15"/>
        <v>86328</v>
      </c>
      <c r="L105" s="403">
        <f t="shared" si="9"/>
        <v>94.960800000000006</v>
      </c>
      <c r="M105" s="403">
        <f t="shared" si="10"/>
        <v>86422.960800000001</v>
      </c>
      <c r="N105" s="404">
        <f t="shared" si="11"/>
        <v>1728</v>
      </c>
      <c r="O105" s="404">
        <f t="shared" si="12"/>
        <v>13828</v>
      </c>
      <c r="P105" s="404">
        <f t="shared" si="13"/>
        <v>3569</v>
      </c>
      <c r="Q105" s="463">
        <f t="shared" si="16"/>
        <v>19125</v>
      </c>
      <c r="R105" s="464">
        <v>3.3610000000000002</v>
      </c>
      <c r="S105" s="463">
        <f t="shared" si="17"/>
        <v>64279.125000000007</v>
      </c>
      <c r="T105" s="397" t="s">
        <v>256</v>
      </c>
    </row>
    <row r="106" spans="1:20" ht="15" hidden="1" x14ac:dyDescent="0.25">
      <c r="A106" s="398" t="s">
        <v>1320</v>
      </c>
      <c r="B106" s="398"/>
      <c r="C106" s="399" t="s">
        <v>1292</v>
      </c>
      <c r="D106" s="400" t="s">
        <v>280</v>
      </c>
      <c r="E106" s="401" t="s">
        <v>827</v>
      </c>
      <c r="F106" s="408">
        <f>+IFERROR(INDEX([4]IMPORTS!$Y:$Y,MATCH($A106,[4]IMPORTS!$C:$C,0)),"")</f>
        <v>43886</v>
      </c>
      <c r="G106" s="408">
        <f t="shared" si="14"/>
        <v>43884</v>
      </c>
      <c r="H106" s="402">
        <f>+IFERROR(INDEX([4]IMPORTS!$P:$P,MATCH($A106,[4]IMPORTS!$C:$C,0)),"")</f>
        <v>314.60000000000002</v>
      </c>
      <c r="I106" s="408" t="str">
        <f>+IFERROR(INDEX([4]IMPORTS!$R:$R,MATCH($A106,[4]IMPORTS!$C:$C,0)),"")</f>
        <v>CFR</v>
      </c>
      <c r="J106" s="409">
        <f>+IFERROR(INDEX([4]IMPORTS!$S:$S,MATCH($A106,[4]IMPORTS!$C:$C,0)),"")</f>
        <v>123</v>
      </c>
      <c r="K106" s="403">
        <f t="shared" si="15"/>
        <v>38695.800000000003</v>
      </c>
      <c r="L106" s="403">
        <f t="shared" si="9"/>
        <v>42.565380000000005</v>
      </c>
      <c r="M106" s="403">
        <f t="shared" si="10"/>
        <v>38738.365380000003</v>
      </c>
      <c r="N106" s="404">
        <f t="shared" si="11"/>
        <v>775</v>
      </c>
      <c r="O106" s="404">
        <f t="shared" si="12"/>
        <v>6198</v>
      </c>
      <c r="P106" s="404">
        <f t="shared" si="13"/>
        <v>1600</v>
      </c>
      <c r="Q106" s="463">
        <f t="shared" si="16"/>
        <v>8573</v>
      </c>
      <c r="R106" s="464">
        <v>3.3610000000000002</v>
      </c>
      <c r="S106" s="463">
        <f t="shared" si="17"/>
        <v>28813.853000000003</v>
      </c>
      <c r="T106" s="397" t="s">
        <v>256</v>
      </c>
    </row>
    <row r="107" spans="1:20" ht="15" hidden="1" x14ac:dyDescent="0.25">
      <c r="A107" s="398" t="s">
        <v>1470</v>
      </c>
      <c r="B107" s="398"/>
      <c r="C107" s="399" t="s">
        <v>1292</v>
      </c>
      <c r="D107" s="400" t="s">
        <v>280</v>
      </c>
      <c r="E107" s="401" t="s">
        <v>827</v>
      </c>
      <c r="F107" s="408">
        <f>+IFERROR(INDEX([4]IMPORTS!$Y:$Y,MATCH($A107,[4]IMPORTS!$C:$C,0)),"")</f>
        <v>43886</v>
      </c>
      <c r="G107" s="408">
        <f t="shared" si="14"/>
        <v>43884</v>
      </c>
      <c r="H107" s="402">
        <f>+IFERROR(INDEX([4]IMPORTS!$P:$P,MATCH($A107,[4]IMPORTS!$C:$C,0)),"")</f>
        <v>171.60000000000002</v>
      </c>
      <c r="I107" s="408" t="str">
        <f>+IFERROR(INDEX([4]IMPORTS!$R:$R,MATCH($A107,[4]IMPORTS!$C:$C,0)),"")</f>
        <v>CFR</v>
      </c>
      <c r="J107" s="409">
        <f>+IFERROR(INDEX([4]IMPORTS!$S:$S,MATCH($A107,[4]IMPORTS!$C:$C,0)),"")</f>
        <v>118</v>
      </c>
      <c r="K107" s="403">
        <f t="shared" si="15"/>
        <v>20248.800000000003</v>
      </c>
      <c r="L107" s="403">
        <f t="shared" si="9"/>
        <v>22.273680000000006</v>
      </c>
      <c r="M107" s="403">
        <f t="shared" si="10"/>
        <v>20271.073680000001</v>
      </c>
      <c r="N107" s="404">
        <f t="shared" si="11"/>
        <v>405</v>
      </c>
      <c r="O107" s="404">
        <f t="shared" si="12"/>
        <v>3243</v>
      </c>
      <c r="P107" s="404">
        <f t="shared" si="13"/>
        <v>837</v>
      </c>
      <c r="Q107" s="463">
        <f t="shared" si="16"/>
        <v>4485</v>
      </c>
      <c r="R107" s="464">
        <v>3.3610000000000002</v>
      </c>
      <c r="S107" s="463">
        <f t="shared" si="17"/>
        <v>15074.085000000001</v>
      </c>
      <c r="T107" s="397" t="s">
        <v>256</v>
      </c>
    </row>
    <row r="108" spans="1:20" ht="15" hidden="1" x14ac:dyDescent="0.25">
      <c r="A108" s="398" t="s">
        <v>1488</v>
      </c>
      <c r="B108" s="398"/>
      <c r="C108" s="400" t="str">
        <f>+IFERROR(INDEX([4]IMPORTS!$E:$E,MATCH($A108,[4]IMPORTS!$C:$C,0)),"")</f>
        <v>ÁCIDO FOSFÓRICO</v>
      </c>
      <c r="D108" s="400" t="str">
        <f>+IFERROR(INDEX([4]IMPORTS!$F:$F,MATCH($A108,[4]IMPORTS!$C:$C,0)),"")</f>
        <v>NITRON GROUP LLC</v>
      </c>
      <c r="E108" s="465" t="str">
        <f>+IFERROR(INDEX([4]IMPORTS!$AF:$AF,MATCH($A108,[4]IMPORTS!$C:$C,0)),"")</f>
        <v>MATARANI</v>
      </c>
      <c r="F108" s="408">
        <f>+IFERROR(INDEX([4]IMPORTS!$Y:$Y,MATCH($A108,[4]IMPORTS!$C:$C,0)),"")</f>
        <v>43908</v>
      </c>
      <c r="G108" s="408">
        <f t="shared" si="14"/>
        <v>43906</v>
      </c>
      <c r="H108" s="402">
        <f>+IFERROR(INDEX([4]IMPORTS!$P:$P,MATCH($A108,[4]IMPORTS!$C:$C,0)),"")</f>
        <v>144</v>
      </c>
      <c r="I108" s="408" t="str">
        <f>+IFERROR(INDEX([4]IMPORTS!$R:$R,MATCH($A108,[4]IMPORTS!$C:$C,0)),"")</f>
        <v>CFR</v>
      </c>
      <c r="J108" s="409">
        <f>+IFERROR(INDEX([4]IMPORTS!$S:$S,MATCH($A108,[4]IMPORTS!$C:$C,0)),"")</f>
        <v>914</v>
      </c>
      <c r="K108" s="403">
        <f t="shared" si="15"/>
        <v>131616</v>
      </c>
      <c r="L108" s="403">
        <f t="shared" si="9"/>
        <v>144.77760000000001</v>
      </c>
      <c r="M108" s="403">
        <f t="shared" si="10"/>
        <v>131760.7776</v>
      </c>
      <c r="N108" s="404">
        <f t="shared" si="11"/>
        <v>2635</v>
      </c>
      <c r="O108" s="404">
        <f t="shared" si="12"/>
        <v>21082</v>
      </c>
      <c r="P108" s="404">
        <f t="shared" si="13"/>
        <v>5442</v>
      </c>
      <c r="Q108" s="463">
        <f t="shared" si="16"/>
        <v>29159</v>
      </c>
      <c r="R108" s="464">
        <v>3.3610000000000002</v>
      </c>
      <c r="S108" s="463">
        <f t="shared" si="17"/>
        <v>98003.399000000005</v>
      </c>
      <c r="T108" s="397" t="s">
        <v>256</v>
      </c>
    </row>
    <row r="109" spans="1:20" ht="15" hidden="1" x14ac:dyDescent="0.25">
      <c r="A109" s="398" t="s">
        <v>1519</v>
      </c>
      <c r="B109" s="398"/>
      <c r="C109" s="400" t="str">
        <f>+IFERROR(INDEX([4]IMPORTS!$E:$E,MATCH($A109,[4]IMPORTS!$C:$C,0)),"")</f>
        <v>YARALIVA CALCINIT X 25KG</v>
      </c>
      <c r="D109" s="400" t="str">
        <f>+IFERROR(INDEX([4]IMPORTS!$F:$F,MATCH($A109,[4]IMPORTS!$C:$C,0)),"")</f>
        <v>YARA PERÚ SRL</v>
      </c>
      <c r="E109" s="465" t="str">
        <f>+IFERROR(INDEX([4]IMPORTS!$AF:$AF,MATCH($A109,[4]IMPORTS!$C:$C,0)),"")</f>
        <v>PAITA</v>
      </c>
      <c r="F109" s="408">
        <f>+IFERROR(INDEX([4]IMPORTS!$Y:$Y,MATCH($A109,[4]IMPORTS!$C:$C,0)),"")</f>
        <v>43865</v>
      </c>
      <c r="G109" s="408">
        <f t="shared" si="14"/>
        <v>43863</v>
      </c>
      <c r="H109" s="402">
        <f>+IFERROR(INDEX([4]IMPORTS!$P:$P,MATCH($A109,[4]IMPORTS!$C:$C,0)),"")</f>
        <v>300</v>
      </c>
      <c r="I109" s="408" t="str">
        <f>+IFERROR(INDEX([4]IMPORTS!$R:$R,MATCH($A109,[4]IMPORTS!$C:$C,0)),"")</f>
        <v>CFR</v>
      </c>
      <c r="J109" s="409">
        <f>+IFERROR(INDEX([4]IMPORTS!$S:$S,MATCH($A109,[4]IMPORTS!$C:$C,0)),"")</f>
        <v>235.21</v>
      </c>
      <c r="K109" s="403">
        <f t="shared" si="15"/>
        <v>70563</v>
      </c>
      <c r="L109" s="403">
        <f>+K109*0.11%</f>
        <v>77.61930000000001</v>
      </c>
      <c r="M109" s="403">
        <f>+K109+L109</f>
        <v>70640.619300000006</v>
      </c>
      <c r="N109" s="404">
        <f>ROUND(M109*2%,0)</f>
        <v>1413</v>
      </c>
      <c r="O109" s="404">
        <f>ROUND(M109*16%,0)</f>
        <v>11302</v>
      </c>
      <c r="P109" s="404">
        <f>ROUND((M109+N109+O109)*3.5%,0)</f>
        <v>2917</v>
      </c>
      <c r="Q109" s="463">
        <f t="shared" si="16"/>
        <v>15632</v>
      </c>
      <c r="R109" s="464">
        <v>3.3610000000000002</v>
      </c>
      <c r="S109" s="463">
        <f t="shared" si="17"/>
        <v>52539.152000000002</v>
      </c>
      <c r="T109" s="397" t="s">
        <v>256</v>
      </c>
    </row>
    <row r="110" spans="1:20" ht="15" hidden="1" x14ac:dyDescent="0.25">
      <c r="A110" s="398" t="s">
        <v>1516</v>
      </c>
      <c r="B110" s="398"/>
      <c r="C110" s="400" t="str">
        <f>+IFERROR(INDEX([4]IMPORTS!$E:$E,MATCH($A110,[4]IMPORTS!$C:$C,0)),"")</f>
        <v>YARALIVA CALCINIT X 25KG</v>
      </c>
      <c r="D110" s="400" t="str">
        <f>+IFERROR(INDEX([4]IMPORTS!$F:$F,MATCH($A110,[4]IMPORTS!$C:$C,0)),"")</f>
        <v>YARA PERÚ SRL</v>
      </c>
      <c r="E110" s="465" t="str">
        <f>+IFERROR(INDEX([4]IMPORTS!$AF:$AF,MATCH($A110,[4]IMPORTS!$C:$C,0)),"")</f>
        <v>CALLAO</v>
      </c>
      <c r="F110" s="408">
        <f>+IFERROR(INDEX([4]IMPORTS!$Y:$Y,MATCH($A110,[4]IMPORTS!$C:$C,0)),"")</f>
        <v>43875</v>
      </c>
      <c r="G110" s="408">
        <f t="shared" si="14"/>
        <v>43873</v>
      </c>
      <c r="H110" s="402">
        <f>+IFERROR(INDEX([4]IMPORTS!$P:$P,MATCH($A110,[4]IMPORTS!$C:$C,0)),"")</f>
        <v>200</v>
      </c>
      <c r="I110" s="408" t="str">
        <f>+IFERROR(INDEX([4]IMPORTS!$R:$R,MATCH($A110,[4]IMPORTS!$C:$C,0)),"")</f>
        <v>CFR</v>
      </c>
      <c r="J110" s="409">
        <f>+IFERROR(INDEX([4]IMPORTS!$S:$S,MATCH($A110,[4]IMPORTS!$C:$C,0)),"")</f>
        <v>235.21</v>
      </c>
      <c r="K110" s="403">
        <f t="shared" si="15"/>
        <v>47042</v>
      </c>
      <c r="L110" s="403">
        <f t="shared" si="9"/>
        <v>51.746200000000002</v>
      </c>
      <c r="M110" s="403">
        <f t="shared" si="10"/>
        <v>47093.746200000001</v>
      </c>
      <c r="N110" s="404">
        <f t="shared" si="11"/>
        <v>942</v>
      </c>
      <c r="O110" s="404">
        <f t="shared" si="12"/>
        <v>7535</v>
      </c>
      <c r="P110" s="404">
        <f t="shared" si="13"/>
        <v>1945</v>
      </c>
      <c r="Q110" s="463">
        <f t="shared" si="16"/>
        <v>10422</v>
      </c>
      <c r="R110" s="464">
        <v>3.3610000000000002</v>
      </c>
      <c r="S110" s="463">
        <f t="shared" si="17"/>
        <v>35028.342000000004</v>
      </c>
      <c r="T110" s="397" t="s">
        <v>256</v>
      </c>
    </row>
    <row r="111" spans="1:20" ht="15" hidden="1" x14ac:dyDescent="0.25">
      <c r="A111" s="398" t="s">
        <v>1517</v>
      </c>
      <c r="B111" s="398"/>
      <c r="C111" s="400" t="str">
        <f>+IFERROR(INDEX([4]IMPORTS!$E:$E,MATCH($A111,[4]IMPORTS!$C:$C,0)),"")</f>
        <v>YARALIVA CALCINIT X 25KG</v>
      </c>
      <c r="D111" s="400" t="str">
        <f>+IFERROR(INDEX([4]IMPORTS!$F:$F,MATCH($A111,[4]IMPORTS!$C:$C,0)),"")</f>
        <v>YARA PERÚ SRL</v>
      </c>
      <c r="E111" s="465" t="str">
        <f>+IFERROR(INDEX([4]IMPORTS!$AF:$AF,MATCH($A111,[4]IMPORTS!$C:$C,0)),"")</f>
        <v>CALLAO</v>
      </c>
      <c r="F111" s="408">
        <f>+IFERROR(INDEX([4]IMPORTS!$Y:$Y,MATCH($A111,[4]IMPORTS!$C:$C,0)),"")</f>
        <v>43875</v>
      </c>
      <c r="G111" s="408">
        <f t="shared" si="14"/>
        <v>43873</v>
      </c>
      <c r="H111" s="402">
        <f>+IFERROR(INDEX([4]IMPORTS!$P:$P,MATCH($A111,[4]IMPORTS!$C:$C,0)),"")</f>
        <v>350</v>
      </c>
      <c r="I111" s="408" t="str">
        <f>+IFERROR(INDEX([4]IMPORTS!$R:$R,MATCH($A111,[4]IMPORTS!$C:$C,0)),"")</f>
        <v>CFR</v>
      </c>
      <c r="J111" s="409">
        <f>+IFERROR(INDEX([4]IMPORTS!$S:$S,MATCH($A111,[4]IMPORTS!$C:$C,0)),"")</f>
        <v>235.21</v>
      </c>
      <c r="K111" s="403">
        <f t="shared" si="15"/>
        <v>82323.5</v>
      </c>
      <c r="L111" s="403">
        <f t="shared" si="9"/>
        <v>90.555850000000007</v>
      </c>
      <c r="M111" s="403">
        <f t="shared" si="10"/>
        <v>82414.055850000004</v>
      </c>
      <c r="N111" s="404">
        <f t="shared" si="11"/>
        <v>1648</v>
      </c>
      <c r="O111" s="404">
        <f t="shared" si="12"/>
        <v>13186</v>
      </c>
      <c r="P111" s="404">
        <f t="shared" si="13"/>
        <v>3404</v>
      </c>
      <c r="Q111" s="463">
        <f t="shared" si="16"/>
        <v>18238</v>
      </c>
      <c r="R111" s="464">
        <v>3.3610000000000002</v>
      </c>
      <c r="S111" s="463">
        <f t="shared" si="17"/>
        <v>61297.918000000005</v>
      </c>
      <c r="T111" s="397" t="s">
        <v>256</v>
      </c>
    </row>
    <row r="112" spans="1:20" ht="15" hidden="1" x14ac:dyDescent="0.25">
      <c r="A112" s="398" t="s">
        <v>1518</v>
      </c>
      <c r="B112" s="398"/>
      <c r="C112" s="400" t="str">
        <f>+IFERROR(INDEX([4]IMPORTS!$E:$E,MATCH($A112,[4]IMPORTS!$C:$C,0)),"")</f>
        <v>YARALIVA CALCINIT X 25KG</v>
      </c>
      <c r="D112" s="400" t="str">
        <f>+IFERROR(INDEX([4]IMPORTS!$F:$F,MATCH($A112,[4]IMPORTS!$C:$C,0)),"")</f>
        <v>YARA PERÚ SRL</v>
      </c>
      <c r="E112" s="465" t="str">
        <f>+IFERROR(INDEX([4]IMPORTS!$AF:$AF,MATCH($A112,[4]IMPORTS!$C:$C,0)),"")</f>
        <v>CALLAO</v>
      </c>
      <c r="F112" s="408">
        <f>+IFERROR(INDEX([4]IMPORTS!$Y:$Y,MATCH($A112,[4]IMPORTS!$C:$C,0)),"")</f>
        <v>43882</v>
      </c>
      <c r="G112" s="408">
        <f t="shared" si="14"/>
        <v>43880</v>
      </c>
      <c r="H112" s="402">
        <f>+IFERROR(INDEX([4]IMPORTS!$P:$P,MATCH($A112,[4]IMPORTS!$C:$C,0)),"")</f>
        <v>250</v>
      </c>
      <c r="I112" s="408" t="str">
        <f>+IFERROR(INDEX([4]IMPORTS!$R:$R,MATCH($A112,[4]IMPORTS!$C:$C,0)),"")</f>
        <v>CFR</v>
      </c>
      <c r="J112" s="409">
        <f>+IFERROR(INDEX([4]IMPORTS!$S:$S,MATCH($A112,[4]IMPORTS!$C:$C,0)),"")</f>
        <v>235.21</v>
      </c>
      <c r="K112" s="403">
        <f t="shared" si="15"/>
        <v>58802.5</v>
      </c>
      <c r="L112" s="403">
        <f t="shared" si="9"/>
        <v>64.682749999999999</v>
      </c>
      <c r="M112" s="403">
        <f t="shared" si="10"/>
        <v>58867.18275</v>
      </c>
      <c r="N112" s="404">
        <f t="shared" si="11"/>
        <v>1177</v>
      </c>
      <c r="O112" s="404">
        <f t="shared" si="12"/>
        <v>9419</v>
      </c>
      <c r="P112" s="404">
        <f t="shared" si="13"/>
        <v>2431</v>
      </c>
      <c r="Q112" s="463">
        <f t="shared" si="16"/>
        <v>13027</v>
      </c>
      <c r="R112" s="464">
        <v>3.3610000000000002</v>
      </c>
      <c r="S112" s="463">
        <f t="shared" si="17"/>
        <v>43783.747000000003</v>
      </c>
      <c r="T112" s="397" t="s">
        <v>256</v>
      </c>
    </row>
    <row r="113" spans="1:20" ht="15" hidden="1" x14ac:dyDescent="0.25">
      <c r="A113" s="398" t="s">
        <v>1546</v>
      </c>
      <c r="B113" s="398"/>
      <c r="C113" s="400" t="str">
        <f>+IFERROR(INDEX([4]IMPORTS!$E:$E,MATCH($A113,[4]IMPORTS!$C:$C,0)),"")</f>
        <v>ÁCIDO FOSFÓRICO</v>
      </c>
      <c r="D113" s="400" t="str">
        <f>+IFERROR(INDEX([4]IMPORTS!$F:$F,MATCH($A113,[4]IMPORTS!$C:$C,0)),"")</f>
        <v>NITRON GROUP LLC</v>
      </c>
      <c r="E113" s="465" t="str">
        <f>+IFERROR(INDEX([4]IMPORTS!$AF:$AF,MATCH($A113,[4]IMPORTS!$C:$C,0)),"")</f>
        <v>CALLAO</v>
      </c>
      <c r="F113" s="408">
        <f>+IFERROR(INDEX([4]IMPORTS!$Y:$Y,MATCH($A113,[4]IMPORTS!$C:$C,0)),"")</f>
        <v>43910</v>
      </c>
      <c r="G113" s="408">
        <f t="shared" si="14"/>
        <v>43908</v>
      </c>
      <c r="H113" s="402">
        <f>+IFERROR(INDEX([4]IMPORTS!$P:$P,MATCH($A113,[4]IMPORTS!$C:$C,0)),"")</f>
        <v>576</v>
      </c>
      <c r="I113" s="408" t="str">
        <f>+IFERROR(INDEX([4]IMPORTS!$R:$R,MATCH($A113,[4]IMPORTS!$C:$C,0)),"")</f>
        <v>CFR</v>
      </c>
      <c r="J113" s="409">
        <f>+IFERROR(INDEX([4]IMPORTS!$S:$S,MATCH($A113,[4]IMPORTS!$C:$C,0)),"")</f>
        <v>890</v>
      </c>
      <c r="K113" s="403">
        <f t="shared" si="15"/>
        <v>512640</v>
      </c>
      <c r="L113" s="403">
        <f t="shared" si="9"/>
        <v>563.904</v>
      </c>
      <c r="M113" s="403">
        <f t="shared" si="10"/>
        <v>513203.90399999998</v>
      </c>
      <c r="N113" s="404">
        <f t="shared" si="11"/>
        <v>10264</v>
      </c>
      <c r="O113" s="404">
        <f t="shared" si="12"/>
        <v>82113</v>
      </c>
      <c r="P113" s="404">
        <f t="shared" si="13"/>
        <v>21195</v>
      </c>
      <c r="Q113" s="463">
        <f t="shared" si="16"/>
        <v>113572</v>
      </c>
      <c r="R113" s="464">
        <v>3.3610000000000002</v>
      </c>
      <c r="S113" s="463">
        <f t="shared" si="17"/>
        <v>381715.49200000003</v>
      </c>
      <c r="T113" s="397" t="s">
        <v>256</v>
      </c>
    </row>
    <row r="114" spans="1:20" ht="15" hidden="1" x14ac:dyDescent="0.25">
      <c r="A114" s="398" t="s">
        <v>1471</v>
      </c>
      <c r="B114" s="398"/>
      <c r="C114" s="400" t="str">
        <f>+IFERROR(INDEX([4]IMPORTS!$E:$E,MATCH($A114,[4]IMPORTS!$C:$C,0)),"")</f>
        <v>ÁCIDO FOSFÓRICO</v>
      </c>
      <c r="D114" s="400" t="str">
        <f>+IFERROR(INDEX([4]IMPORTS!$F:$F,MATCH($A114,[4]IMPORTS!$C:$C,0)),"")</f>
        <v>NITRON GROUP LLC</v>
      </c>
      <c r="E114" s="465" t="str">
        <f>+IFERROR(INDEX([4]IMPORTS!$AF:$AF,MATCH($A114,[4]IMPORTS!$C:$C,0)),"")</f>
        <v>CALLAO</v>
      </c>
      <c r="F114" s="408">
        <f>+IFERROR(INDEX([4]IMPORTS!$Y:$Y,MATCH($A114,[4]IMPORTS!$C:$C,0)),"")</f>
        <v>43910</v>
      </c>
      <c r="G114" s="408">
        <f t="shared" si="14"/>
        <v>43908</v>
      </c>
      <c r="H114" s="402">
        <f>+IFERROR(INDEX([4]IMPORTS!$P:$P,MATCH($A114,[4]IMPORTS!$C:$C,0)),"")</f>
        <v>8</v>
      </c>
      <c r="I114" s="408" t="str">
        <f>+IFERROR(INDEX([4]IMPORTS!$R:$R,MATCH($A114,[4]IMPORTS!$C:$C,0)),"")</f>
        <v>CFR</v>
      </c>
      <c r="J114" s="409">
        <f>+IFERROR(INDEX([4]IMPORTS!$S:$S,MATCH($A114,[4]IMPORTS!$C:$C,0)),"")</f>
        <v>884</v>
      </c>
      <c r="K114" s="403">
        <f t="shared" si="15"/>
        <v>7072</v>
      </c>
      <c r="L114" s="403">
        <f t="shared" si="9"/>
        <v>7.7792000000000003</v>
      </c>
      <c r="M114" s="403">
        <f t="shared" si="10"/>
        <v>7079.7791999999999</v>
      </c>
      <c r="N114" s="404">
        <f t="shared" si="11"/>
        <v>142</v>
      </c>
      <c r="O114" s="404">
        <f t="shared" si="12"/>
        <v>1133</v>
      </c>
      <c r="P114" s="404">
        <f t="shared" si="13"/>
        <v>292</v>
      </c>
      <c r="Q114" s="463">
        <f t="shared" si="16"/>
        <v>1567</v>
      </c>
      <c r="R114" s="464">
        <v>3.3610000000000002</v>
      </c>
      <c r="S114" s="463">
        <f t="shared" si="17"/>
        <v>5266.6869999999999</v>
      </c>
      <c r="T114" s="397" t="s">
        <v>256</v>
      </c>
    </row>
    <row r="115" spans="1:20" ht="15" hidden="1" x14ac:dyDescent="0.25">
      <c r="A115" s="398" t="s">
        <v>1547</v>
      </c>
      <c r="B115" s="398"/>
      <c r="C115" s="400" t="str">
        <f>+IFERROR(INDEX([4]IMPORTS!$E:$E,MATCH($A115,[4]IMPORTS!$C:$C,0)),"")</f>
        <v>ÁCIDO FOSFÓRICO</v>
      </c>
      <c r="D115" s="400" t="str">
        <f>+IFERROR(INDEX([4]IMPORTS!$F:$F,MATCH($A115,[4]IMPORTS!$C:$C,0)),"")</f>
        <v>NITRON GROUP LLC</v>
      </c>
      <c r="E115" s="465" t="str">
        <f>+IFERROR(INDEX([4]IMPORTS!$AF:$AF,MATCH($A115,[4]IMPORTS!$C:$C,0)),"")</f>
        <v>CALLAO</v>
      </c>
      <c r="F115" s="408">
        <f>+IFERROR(INDEX([4]IMPORTS!$Y:$Y,MATCH($A115,[4]IMPORTS!$C:$C,0)),"")</f>
        <v>43916</v>
      </c>
      <c r="G115" s="408">
        <f t="shared" si="14"/>
        <v>43914</v>
      </c>
      <c r="H115" s="402">
        <f>+IFERROR(INDEX([4]IMPORTS!$P:$P,MATCH($A115,[4]IMPORTS!$C:$C,0)),"")</f>
        <v>24</v>
      </c>
      <c r="I115" s="408" t="str">
        <f>+IFERROR(INDEX([4]IMPORTS!$R:$R,MATCH($A115,[4]IMPORTS!$C:$C,0)),"")</f>
        <v>CFR</v>
      </c>
      <c r="J115" s="409">
        <f>+IFERROR(INDEX([4]IMPORTS!$S:$S,MATCH($A115,[4]IMPORTS!$C:$C,0)),"")</f>
        <v>890</v>
      </c>
      <c r="K115" s="403">
        <f t="shared" si="15"/>
        <v>21360</v>
      </c>
      <c r="L115" s="403">
        <f t="shared" si="9"/>
        <v>23.496000000000002</v>
      </c>
      <c r="M115" s="403">
        <f t="shared" si="10"/>
        <v>21383.495999999999</v>
      </c>
      <c r="N115" s="404">
        <f t="shared" si="11"/>
        <v>428</v>
      </c>
      <c r="O115" s="404">
        <f t="shared" si="12"/>
        <v>3421</v>
      </c>
      <c r="P115" s="404">
        <f t="shared" si="13"/>
        <v>883</v>
      </c>
      <c r="Q115" s="463">
        <f t="shared" si="16"/>
        <v>4732</v>
      </c>
      <c r="R115" s="464">
        <v>3.3610000000000002</v>
      </c>
      <c r="S115" s="463">
        <f t="shared" si="17"/>
        <v>15904.252</v>
      </c>
      <c r="T115" s="397" t="s">
        <v>256</v>
      </c>
    </row>
    <row r="116" spans="1:20" ht="15" hidden="1" x14ac:dyDescent="0.25">
      <c r="A116" s="398" t="s">
        <v>1487</v>
      </c>
      <c r="B116" s="398"/>
      <c r="C116" s="400" t="str">
        <f>+IFERROR(INDEX([4]IMPORTS!$E:$E,MATCH($A116,[4]IMPORTS!$C:$C,0)),"")</f>
        <v>ÁCIDO FOSFÓRICO</v>
      </c>
      <c r="D116" s="400" t="str">
        <f>+IFERROR(INDEX([4]IMPORTS!$F:$F,MATCH($A116,[4]IMPORTS!$C:$C,0)),"")</f>
        <v>NITRON GROUP LLC</v>
      </c>
      <c r="E116" s="465" t="str">
        <f>+IFERROR(INDEX([4]IMPORTS!$AF:$AF,MATCH($A116,[4]IMPORTS!$C:$C,0)),"")</f>
        <v>PAITA</v>
      </c>
      <c r="F116" s="408">
        <f>+IFERROR(INDEX([4]IMPORTS!$Y:$Y,MATCH($A116,[4]IMPORTS!$C:$C,0)),"")</f>
        <v>43917</v>
      </c>
      <c r="G116" s="408">
        <f t="shared" si="14"/>
        <v>43915</v>
      </c>
      <c r="H116" s="402">
        <f>+IFERROR(INDEX([4]IMPORTS!$P:$P,MATCH($A116,[4]IMPORTS!$C:$C,0)),"")</f>
        <v>600</v>
      </c>
      <c r="I116" s="408" t="str">
        <f>+IFERROR(INDEX([4]IMPORTS!$R:$R,MATCH($A116,[4]IMPORTS!$C:$C,0)),"")</f>
        <v>CFR</v>
      </c>
      <c r="J116" s="409">
        <f>+IFERROR(INDEX([4]IMPORTS!$S:$S,MATCH($A116,[4]IMPORTS!$C:$C,0)),"")</f>
        <v>900</v>
      </c>
      <c r="K116" s="403">
        <f t="shared" si="15"/>
        <v>540000</v>
      </c>
      <c r="L116" s="403">
        <f t="shared" si="9"/>
        <v>594</v>
      </c>
      <c r="M116" s="403">
        <f t="shared" si="10"/>
        <v>540594</v>
      </c>
      <c r="N116" s="404">
        <f t="shared" si="11"/>
        <v>10812</v>
      </c>
      <c r="O116" s="404">
        <f t="shared" si="12"/>
        <v>86495</v>
      </c>
      <c r="P116" s="404">
        <f t="shared" si="13"/>
        <v>22327</v>
      </c>
      <c r="Q116" s="463">
        <f t="shared" si="16"/>
        <v>119634</v>
      </c>
      <c r="R116" s="464">
        <v>3.3610000000000002</v>
      </c>
      <c r="S116" s="463">
        <f t="shared" si="17"/>
        <v>402089.87400000001</v>
      </c>
      <c r="T116" s="397" t="s">
        <v>256</v>
      </c>
    </row>
    <row r="117" spans="1:20" ht="15" hidden="1" x14ac:dyDescent="0.25">
      <c r="A117" s="398" t="s">
        <v>1562</v>
      </c>
      <c r="B117" s="398"/>
      <c r="C117" s="400" t="str">
        <f>+IFERROR(INDEX([4]IMPORTS!$E:$E,MATCH($A117,[4]IMPORTS!$C:$C,0)),"")</f>
        <v>YARALIVA CALCINIT X 25KG</v>
      </c>
      <c r="D117" s="400" t="str">
        <f>+IFERROR(INDEX([4]IMPORTS!$F:$F,MATCH($A117,[4]IMPORTS!$C:$C,0)),"")</f>
        <v>YARA PERÚ SRL</v>
      </c>
      <c r="E117" s="465" t="str">
        <f>+IFERROR(INDEX([4]IMPORTS!$AF:$AF,MATCH($A117,[4]IMPORTS!$C:$C,0)),"")</f>
        <v>CALLAO</v>
      </c>
      <c r="F117" s="408">
        <f>+IFERROR(INDEX([4]IMPORTS!$Y:$Y,MATCH($A117,[4]IMPORTS!$C:$C,0)),"")</f>
        <v>43911</v>
      </c>
      <c r="G117" s="408">
        <f t="shared" si="14"/>
        <v>43909</v>
      </c>
      <c r="H117" s="402">
        <f>+IFERROR(INDEX([4]IMPORTS!$P:$P,MATCH($A117,[4]IMPORTS!$C:$C,0)),"")</f>
        <v>325</v>
      </c>
      <c r="I117" s="408" t="str">
        <f>+IFERROR(INDEX([4]IMPORTS!$R:$R,MATCH($A117,[4]IMPORTS!$C:$C,0)),"")</f>
        <v>CFR</v>
      </c>
      <c r="J117" s="409">
        <f>+IFERROR(INDEX([4]IMPORTS!$S:$S,MATCH($A117,[4]IMPORTS!$C:$C,0)),"")</f>
        <v>246.35</v>
      </c>
      <c r="K117" s="403">
        <f t="shared" si="15"/>
        <v>80063.75</v>
      </c>
      <c r="L117" s="403">
        <f t="shared" ref="L117:L159" si="18">+K117*0.11%</f>
        <v>88.070125000000004</v>
      </c>
      <c r="M117" s="403">
        <f t="shared" ref="M117:M159" si="19">+K117+L117</f>
        <v>80151.820124999998</v>
      </c>
      <c r="N117" s="404">
        <f t="shared" ref="N117:N159" si="20">ROUND(M117*2%,0)</f>
        <v>1603</v>
      </c>
      <c r="O117" s="404">
        <f t="shared" ref="O117:O159" si="21">ROUND(M117*16%,0)</f>
        <v>12824</v>
      </c>
      <c r="P117" s="404">
        <f t="shared" ref="P117:P159" si="22">ROUND((M117+N117+O117)*3.5%,0)</f>
        <v>3310</v>
      </c>
      <c r="Q117" s="463">
        <f t="shared" si="16"/>
        <v>17737</v>
      </c>
      <c r="R117" s="464">
        <v>3.3610000000000002</v>
      </c>
      <c r="S117" s="463">
        <f t="shared" si="17"/>
        <v>59614.057000000001</v>
      </c>
      <c r="T117" s="397" t="s">
        <v>256</v>
      </c>
    </row>
    <row r="118" spans="1:20" ht="15" hidden="1" x14ac:dyDescent="0.25">
      <c r="A118" s="398" t="s">
        <v>1486</v>
      </c>
      <c r="B118" s="398"/>
      <c r="C118" s="400" t="str">
        <f>+IFERROR(INDEX([4]IMPORTS!$E:$E,MATCH($A118,[4]IMPORTS!$C:$C,0)),"")</f>
        <v xml:space="preserve">SULFATO DE MAGNESIO HEPTAHIDRATADO </v>
      </c>
      <c r="D118" s="400" t="str">
        <f>+IFERROR(INDEX([4]IMPORTS!$F:$F,MATCH($A118,[4]IMPORTS!$C:$C,0)),"")</f>
        <v>STAR GRACE MINING CO.,LTD</v>
      </c>
      <c r="E118" s="465" t="str">
        <f>+IFERROR(INDEX([4]IMPORTS!$AF:$AF,MATCH($A118,[4]IMPORTS!$C:$C,0)),"")</f>
        <v>CALLAO</v>
      </c>
      <c r="F118" s="408">
        <f>+IFERROR(INDEX([4]IMPORTS!$Y:$Y,MATCH($A118,[4]IMPORTS!$C:$C,0)),"")</f>
        <v>43957</v>
      </c>
      <c r="G118" s="408">
        <f t="shared" si="14"/>
        <v>43955</v>
      </c>
      <c r="H118" s="402">
        <f>+IFERROR(INDEX([4]IMPORTS!$P:$P,MATCH($A118,[4]IMPORTS!$C:$C,0)),"")</f>
        <v>400.8</v>
      </c>
      <c r="I118" s="408" t="str">
        <f>+IFERROR(INDEX([4]IMPORTS!$R:$R,MATCH($A118,[4]IMPORTS!$C:$C,0)),"")</f>
        <v>CFR</v>
      </c>
      <c r="J118" s="409">
        <f>+IFERROR(INDEX([4]IMPORTS!$S:$S,MATCH($A118,[4]IMPORTS!$C:$C,0)),"")</f>
        <v>114</v>
      </c>
      <c r="K118" s="403">
        <f t="shared" si="15"/>
        <v>45691.200000000004</v>
      </c>
      <c r="L118" s="403">
        <f t="shared" si="18"/>
        <v>50.260320000000007</v>
      </c>
      <c r="M118" s="403">
        <f t="shared" si="19"/>
        <v>45741.460320000006</v>
      </c>
      <c r="N118" s="404">
        <f t="shared" si="20"/>
        <v>915</v>
      </c>
      <c r="O118" s="404">
        <f t="shared" si="21"/>
        <v>7319</v>
      </c>
      <c r="P118" s="404">
        <f t="shared" si="22"/>
        <v>1889</v>
      </c>
      <c r="Q118" s="463">
        <f t="shared" si="16"/>
        <v>10123</v>
      </c>
      <c r="R118" s="464">
        <v>3.3610000000000002</v>
      </c>
      <c r="S118" s="463">
        <f t="shared" si="17"/>
        <v>34023.403000000006</v>
      </c>
      <c r="T118" s="397" t="s">
        <v>256</v>
      </c>
    </row>
    <row r="119" spans="1:20" ht="15" hidden="1" x14ac:dyDescent="0.25">
      <c r="A119" s="398" t="s">
        <v>1530</v>
      </c>
      <c r="B119" s="398"/>
      <c r="C119" s="400" t="str">
        <f>+IFERROR(INDEX([4]IMPORTS!$E:$E,MATCH($A119,[4]IMPORTS!$C:$C,0)),"")</f>
        <v>MICROMAX ZN EDTA X 1KG</v>
      </c>
      <c r="D119" s="400" t="str">
        <f>+IFERROR(INDEX([4]IMPORTS!$F:$F,MATCH($A119,[4]IMPORTS!$C:$C,0)),"")</f>
        <v>PPC ADOB Sp. z o.o. Sp. K.</v>
      </c>
      <c r="E119" s="465" t="str">
        <f>+IFERROR(INDEX([4]IMPORTS!$AF:$AF,MATCH($A119,[4]IMPORTS!$C:$C,0)),"")</f>
        <v>CALLAO</v>
      </c>
      <c r="F119" s="408">
        <f>+IFERROR(INDEX([4]IMPORTS!$Y:$Y,MATCH($A119,[4]IMPORTS!$C:$C,0)),"")</f>
        <v>43952</v>
      </c>
      <c r="G119" s="408">
        <f t="shared" si="14"/>
        <v>43950</v>
      </c>
      <c r="H119" s="402">
        <f>+IFERROR(INDEX([4]IMPORTS!$P:$P,MATCH($A119,[4]IMPORTS!$C:$C,0)),"")</f>
        <v>8.4</v>
      </c>
      <c r="I119" s="408" t="str">
        <f>+IFERROR(INDEX([4]IMPORTS!$R:$R,MATCH($A119,[4]IMPORTS!$C:$C,0)),"")</f>
        <v>CIF</v>
      </c>
      <c r="J119" s="409">
        <f>+IFERROR(INDEX([4]IMPORTS!$S:$S,MATCH($A119,[4]IMPORTS!$C:$C,0)),"")</f>
        <v>4530</v>
      </c>
      <c r="K119" s="403">
        <f t="shared" si="15"/>
        <v>38052</v>
      </c>
      <c r="L119" s="403">
        <f t="shared" si="18"/>
        <v>41.857200000000006</v>
      </c>
      <c r="M119" s="403">
        <f t="shared" si="19"/>
        <v>38093.857199999999</v>
      </c>
      <c r="N119" s="404">
        <f t="shared" si="20"/>
        <v>762</v>
      </c>
      <c r="O119" s="404">
        <f t="shared" si="21"/>
        <v>6095</v>
      </c>
      <c r="P119" s="404">
        <f t="shared" si="22"/>
        <v>1573</v>
      </c>
      <c r="Q119" s="463">
        <f t="shared" si="16"/>
        <v>8430</v>
      </c>
      <c r="R119" s="464">
        <v>3.3610000000000002</v>
      </c>
      <c r="S119" s="463">
        <f t="shared" si="17"/>
        <v>28333.230000000003</v>
      </c>
      <c r="T119" s="397" t="s">
        <v>256</v>
      </c>
    </row>
    <row r="120" spans="1:20" ht="15" hidden="1" x14ac:dyDescent="0.25">
      <c r="A120" s="398" t="s">
        <v>1542</v>
      </c>
      <c r="B120" s="398"/>
      <c r="C120" s="400" t="str">
        <f>+IFERROR(INDEX([4]IMPORTS!$E:$E,MATCH($A120,[4]IMPORTS!$C:$C,0)),"")</f>
        <v xml:space="preserve">SULFATO DE MAGNESIO HEPTAHIDRATADO </v>
      </c>
      <c r="D120" s="400" t="str">
        <f>+IFERROR(INDEX([4]IMPORTS!$F:$F,MATCH($A120,[4]IMPORTS!$C:$C,0)),"")</f>
        <v>STAR GRACE MINING CO.,LTD</v>
      </c>
      <c r="E120" s="465" t="str">
        <f>+IFERROR(INDEX([4]IMPORTS!$AF:$AF,MATCH($A120,[4]IMPORTS!$C:$C,0)),"")</f>
        <v>PAITA</v>
      </c>
      <c r="F120" s="408">
        <f>+IFERROR(INDEX([4]IMPORTS!$Y:$Y,MATCH($A120,[4]IMPORTS!$C:$C,0)),"")</f>
        <v>43945</v>
      </c>
      <c r="G120" s="408">
        <f t="shared" si="14"/>
        <v>43943</v>
      </c>
      <c r="H120" s="402">
        <f>+IFERROR(INDEX([4]IMPORTS!$P:$P,MATCH($A120,[4]IMPORTS!$C:$C,0)),"")</f>
        <v>400.4</v>
      </c>
      <c r="I120" s="408" t="str">
        <f>+IFERROR(INDEX([4]IMPORTS!$R:$R,MATCH($A120,[4]IMPORTS!$C:$C,0)),"")</f>
        <v>CFR</v>
      </c>
      <c r="J120" s="409">
        <f>+IFERROR(INDEX([4]IMPORTS!$S:$S,MATCH($A120,[4]IMPORTS!$C:$C,0)),"")</f>
        <v>129</v>
      </c>
      <c r="K120" s="403">
        <f t="shared" si="15"/>
        <v>51651.6</v>
      </c>
      <c r="L120" s="403">
        <f t="shared" si="18"/>
        <v>56.816760000000002</v>
      </c>
      <c r="M120" s="403">
        <f t="shared" si="19"/>
        <v>51708.41676</v>
      </c>
      <c r="N120" s="404">
        <f t="shared" si="20"/>
        <v>1034</v>
      </c>
      <c r="O120" s="404">
        <f t="shared" si="21"/>
        <v>8273</v>
      </c>
      <c r="P120" s="404">
        <f t="shared" si="22"/>
        <v>2136</v>
      </c>
      <c r="Q120" s="463">
        <f t="shared" si="16"/>
        <v>11443</v>
      </c>
      <c r="R120" s="464">
        <v>3.3610000000000002</v>
      </c>
      <c r="S120" s="463">
        <f t="shared" si="17"/>
        <v>38459.923000000003</v>
      </c>
      <c r="T120" s="397" t="s">
        <v>256</v>
      </c>
    </row>
    <row r="121" spans="1:20" ht="15" hidden="1" x14ac:dyDescent="0.25">
      <c r="A121" s="398" t="s">
        <v>1541</v>
      </c>
      <c r="B121" s="398"/>
      <c r="C121" s="400" t="str">
        <f>+IFERROR(INDEX([4]IMPORTS!$E:$E,MATCH($A121,[4]IMPORTS!$C:$C,0)),"")</f>
        <v xml:space="preserve">SULFATO DE MAGNESIO HEPTAHIDRATADO </v>
      </c>
      <c r="D121" s="400" t="str">
        <f>+IFERROR(INDEX([4]IMPORTS!$F:$F,MATCH($A121,[4]IMPORTS!$C:$C,0)),"")</f>
        <v>STAR GRACE MINING CO.,LTD</v>
      </c>
      <c r="E121" s="465" t="str">
        <f>+IFERROR(INDEX([4]IMPORTS!$AF:$AF,MATCH($A121,[4]IMPORTS!$C:$C,0)),"")</f>
        <v>PAITA</v>
      </c>
      <c r="F121" s="408">
        <f>+IFERROR(INDEX([4]IMPORTS!$Y:$Y,MATCH($A121,[4]IMPORTS!$C:$C,0)),"")</f>
        <v>43945</v>
      </c>
      <c r="G121" s="408">
        <f t="shared" si="14"/>
        <v>43943</v>
      </c>
      <c r="H121" s="402">
        <f>+IFERROR(INDEX([4]IMPORTS!$P:$P,MATCH($A121,[4]IMPORTS!$C:$C,0)),"")</f>
        <v>400.4</v>
      </c>
      <c r="I121" s="408" t="str">
        <f>+IFERROR(INDEX([4]IMPORTS!$R:$R,MATCH($A121,[4]IMPORTS!$C:$C,0)),"")</f>
        <v>CFR</v>
      </c>
      <c r="J121" s="409">
        <f>+IFERROR(INDEX([4]IMPORTS!$S:$S,MATCH($A121,[4]IMPORTS!$C:$C,0)),"")</f>
        <v>129</v>
      </c>
      <c r="K121" s="403">
        <f t="shared" si="15"/>
        <v>51651.6</v>
      </c>
      <c r="L121" s="403">
        <f t="shared" si="18"/>
        <v>56.816760000000002</v>
      </c>
      <c r="M121" s="403">
        <f t="shared" si="19"/>
        <v>51708.41676</v>
      </c>
      <c r="N121" s="404">
        <f t="shared" si="20"/>
        <v>1034</v>
      </c>
      <c r="O121" s="404">
        <f t="shared" si="21"/>
        <v>8273</v>
      </c>
      <c r="P121" s="404">
        <f t="shared" si="22"/>
        <v>2136</v>
      </c>
      <c r="Q121" s="463">
        <f t="shared" si="16"/>
        <v>11443</v>
      </c>
      <c r="R121" s="464">
        <v>3.3610000000000002</v>
      </c>
      <c r="S121" s="463">
        <f t="shared" si="17"/>
        <v>38459.923000000003</v>
      </c>
      <c r="T121" s="397" t="s">
        <v>256</v>
      </c>
    </row>
    <row r="122" spans="1:20" ht="15" hidden="1" x14ac:dyDescent="0.25">
      <c r="A122" s="398" t="s">
        <v>1560</v>
      </c>
      <c r="B122" s="398"/>
      <c r="C122" s="400" t="str">
        <f>+IFERROR(INDEX([4]IMPORTS!$E:$E,MATCH($A122,[4]IMPORTS!$C:$C,0)),"")</f>
        <v>MICROELEMENTO SFERA 4 - 50KG</v>
      </c>
      <c r="D122" s="400" t="str">
        <f>+IFERROR(INDEX([4]IMPORTS!$F:$F,MATCH($A122,[4]IMPORTS!$C:$C,0)),"")</f>
        <v>MANTTRA AMERICAS</v>
      </c>
      <c r="E122" s="465" t="str">
        <f>+IFERROR(INDEX([4]IMPORTS!$AF:$AF,MATCH($A122,[4]IMPORTS!$C:$C,0)),"")</f>
        <v>CALLAO</v>
      </c>
      <c r="F122" s="408">
        <f>+IFERROR(INDEX([4]IMPORTS!$Y:$Y,MATCH($A122,[4]IMPORTS!$C:$C,0)),"")</f>
        <v>43925</v>
      </c>
      <c r="G122" s="408">
        <f t="shared" si="14"/>
        <v>43923</v>
      </c>
      <c r="H122" s="402">
        <f>+IFERROR(INDEX([4]IMPORTS!$P:$P,MATCH($A122,[4]IMPORTS!$C:$C,0)),"")</f>
        <v>52</v>
      </c>
      <c r="I122" s="408" t="str">
        <f>+IFERROR(INDEX([4]IMPORTS!$R:$R,MATCH($A122,[4]IMPORTS!$C:$C,0)),"")</f>
        <v>CFR</v>
      </c>
      <c r="J122" s="409">
        <f>+IFERROR(INDEX([4]IMPORTS!$S:$S,MATCH($A122,[4]IMPORTS!$C:$C,0)),"")</f>
        <v>280</v>
      </c>
      <c r="K122" s="403">
        <f t="shared" si="15"/>
        <v>14560</v>
      </c>
      <c r="L122" s="403">
        <f t="shared" si="18"/>
        <v>16.016000000000002</v>
      </c>
      <c r="M122" s="403">
        <f t="shared" si="19"/>
        <v>14576.016</v>
      </c>
      <c r="N122" s="404">
        <f t="shared" si="20"/>
        <v>292</v>
      </c>
      <c r="O122" s="404">
        <f t="shared" si="21"/>
        <v>2332</v>
      </c>
      <c r="P122" s="404">
        <f t="shared" si="22"/>
        <v>602</v>
      </c>
      <c r="Q122" s="463">
        <f t="shared" si="16"/>
        <v>3226</v>
      </c>
      <c r="R122" s="464">
        <v>3.3610000000000002</v>
      </c>
      <c r="S122" s="463">
        <f t="shared" si="17"/>
        <v>10842.586000000001</v>
      </c>
      <c r="T122" s="397" t="s">
        <v>256</v>
      </c>
    </row>
    <row r="123" spans="1:20" ht="15" hidden="1" x14ac:dyDescent="0.25">
      <c r="A123" s="398" t="s">
        <v>3072</v>
      </c>
      <c r="B123" s="398"/>
      <c r="C123" s="400" t="str">
        <f>+IFERROR(INDEX([4]IMPORTS!$E:$E,MATCH($A123,[4]IMPORTS!$C:$C,0)),"")</f>
        <v/>
      </c>
      <c r="D123" s="400" t="str">
        <f>+IFERROR(INDEX([4]IMPORTS!$F:$F,MATCH($A123,[4]IMPORTS!$C:$C,0)),"")</f>
        <v/>
      </c>
      <c r="E123" s="465" t="str">
        <f>+IFERROR(INDEX([4]IMPORTS!$AF:$AF,MATCH($A123,[4]IMPORTS!$C:$C,0)),"")</f>
        <v/>
      </c>
      <c r="F123" s="408" t="str">
        <f>+IFERROR(INDEX([4]IMPORTS!$Y:$Y,MATCH($A123,[4]IMPORTS!$C:$C,0)),"")</f>
        <v/>
      </c>
      <c r="G123" s="408" t="e">
        <f t="shared" si="14"/>
        <v>#VALUE!</v>
      </c>
      <c r="H123" s="402" t="str">
        <f>+IFERROR(INDEX([4]IMPORTS!$P:$P,MATCH($A123,[4]IMPORTS!$C:$C,0)),"")</f>
        <v/>
      </c>
      <c r="I123" s="408" t="str">
        <f>+IFERROR(INDEX([4]IMPORTS!$R:$R,MATCH($A123,[4]IMPORTS!$C:$C,0)),"")</f>
        <v/>
      </c>
      <c r="J123" s="409" t="str">
        <f>+IFERROR(INDEX([4]IMPORTS!$S:$S,MATCH($A123,[4]IMPORTS!$C:$C,0)),"")</f>
        <v/>
      </c>
      <c r="K123" s="403" t="e">
        <f t="shared" si="15"/>
        <v>#VALUE!</v>
      </c>
      <c r="L123" s="403" t="e">
        <f t="shared" si="18"/>
        <v>#VALUE!</v>
      </c>
      <c r="M123" s="403" t="e">
        <f t="shared" si="19"/>
        <v>#VALUE!</v>
      </c>
      <c r="N123" s="404" t="e">
        <f t="shared" si="20"/>
        <v>#VALUE!</v>
      </c>
      <c r="O123" s="404" t="e">
        <f t="shared" si="21"/>
        <v>#VALUE!</v>
      </c>
      <c r="P123" s="404" t="e">
        <f t="shared" si="22"/>
        <v>#VALUE!</v>
      </c>
      <c r="Q123" s="463" t="e">
        <f t="shared" si="16"/>
        <v>#VALUE!</v>
      </c>
      <c r="R123" s="464">
        <v>3.3610000000000002</v>
      </c>
      <c r="S123" s="463" t="e">
        <f t="shared" si="17"/>
        <v>#VALUE!</v>
      </c>
      <c r="T123" s="397" t="s">
        <v>256</v>
      </c>
    </row>
    <row r="124" spans="1:20" ht="15" hidden="1" x14ac:dyDescent="0.25">
      <c r="A124" s="398" t="s">
        <v>1620</v>
      </c>
      <c r="B124" s="398"/>
      <c r="C124" s="400" t="str">
        <f>+IFERROR(INDEX([4]IMPORTS!$E:$E,MATCH($A124,[4]IMPORTS!$C:$C,0)),"")</f>
        <v>YARATERA CALCINIT X 25KG</v>
      </c>
      <c r="D124" s="400" t="str">
        <f>+IFERROR(INDEX([4]IMPORTS!$F:$F,MATCH($A124,[4]IMPORTS!$C:$C,0)),"")</f>
        <v>YARA PERÚ SRL</v>
      </c>
      <c r="E124" s="465" t="str">
        <f>+IFERROR(INDEX([4]IMPORTS!$AF:$AF,MATCH($A124,[4]IMPORTS!$C:$C,0)),"")</f>
        <v>CALLAO</v>
      </c>
      <c r="F124" s="408">
        <f>+IFERROR(INDEX([4]IMPORTS!$Y:$Y,MATCH($A124,[4]IMPORTS!$C:$C,0)),"")</f>
        <v>43952</v>
      </c>
      <c r="G124" s="408">
        <f t="shared" si="14"/>
        <v>43950</v>
      </c>
      <c r="H124" s="402">
        <f>+IFERROR(INDEX([4]IMPORTS!$P:$P,MATCH($A124,[4]IMPORTS!$C:$C,0)),"")</f>
        <v>350</v>
      </c>
      <c r="I124" s="408" t="str">
        <f>+IFERROR(INDEX([4]IMPORTS!$R:$R,MATCH($A124,[4]IMPORTS!$C:$C,0)),"")</f>
        <v>CFR</v>
      </c>
      <c r="J124" s="409">
        <f>+IFERROR(INDEX([4]IMPORTS!$S:$S,MATCH($A124,[4]IMPORTS!$C:$C,0)),"")</f>
        <v>247.67</v>
      </c>
      <c r="K124" s="403">
        <f t="shared" si="15"/>
        <v>86684.5</v>
      </c>
      <c r="L124" s="403">
        <f t="shared" si="18"/>
        <v>95.352950000000007</v>
      </c>
      <c r="M124" s="403">
        <f t="shared" si="19"/>
        <v>86779.85295</v>
      </c>
      <c r="N124" s="404">
        <f t="shared" si="20"/>
        <v>1736</v>
      </c>
      <c r="O124" s="404">
        <f t="shared" si="21"/>
        <v>13885</v>
      </c>
      <c r="P124" s="404">
        <f t="shared" si="22"/>
        <v>3584</v>
      </c>
      <c r="Q124" s="463">
        <f t="shared" si="16"/>
        <v>19205</v>
      </c>
      <c r="R124" s="464">
        <v>3.3610000000000002</v>
      </c>
      <c r="S124" s="463">
        <f t="shared" si="17"/>
        <v>64548.005000000005</v>
      </c>
      <c r="T124" s="397" t="s">
        <v>256</v>
      </c>
    </row>
    <row r="125" spans="1:20" ht="15" hidden="1" x14ac:dyDescent="0.25">
      <c r="A125" s="398" t="s">
        <v>1621</v>
      </c>
      <c r="B125" s="398"/>
      <c r="C125" s="400" t="str">
        <f>+IFERROR(INDEX([4]IMPORTS!$E:$E,MATCH($A125,[4]IMPORTS!$C:$C,0)),"")</f>
        <v>YARATERA CALCINIT X 25KG</v>
      </c>
      <c r="D125" s="400" t="str">
        <f>+IFERROR(INDEX([4]IMPORTS!$F:$F,MATCH($A125,[4]IMPORTS!$C:$C,0)),"")</f>
        <v>YARA PERÚ SRL</v>
      </c>
      <c r="E125" s="465" t="str">
        <f>+IFERROR(INDEX([4]IMPORTS!$AF:$AF,MATCH($A125,[4]IMPORTS!$C:$C,0)),"")</f>
        <v>CALLAO</v>
      </c>
      <c r="F125" s="408">
        <f>+IFERROR(INDEX([4]IMPORTS!$Y:$Y,MATCH($A125,[4]IMPORTS!$C:$C,0)),"")</f>
        <v>43952</v>
      </c>
      <c r="G125" s="408">
        <f t="shared" si="14"/>
        <v>43950</v>
      </c>
      <c r="H125" s="402">
        <f>+IFERROR(INDEX([4]IMPORTS!$P:$P,MATCH($A125,[4]IMPORTS!$C:$C,0)),"")</f>
        <v>350</v>
      </c>
      <c r="I125" s="408" t="str">
        <f>+IFERROR(INDEX([4]IMPORTS!$R:$R,MATCH($A125,[4]IMPORTS!$C:$C,0)),"")</f>
        <v>CFR</v>
      </c>
      <c r="J125" s="409">
        <f>+IFERROR(INDEX([4]IMPORTS!$S:$S,MATCH($A125,[4]IMPORTS!$C:$C,0)),"")</f>
        <v>247.67</v>
      </c>
      <c r="K125" s="403">
        <f t="shared" si="15"/>
        <v>86684.5</v>
      </c>
      <c r="L125" s="403">
        <f t="shared" si="18"/>
        <v>95.352950000000007</v>
      </c>
      <c r="M125" s="403">
        <f t="shared" si="19"/>
        <v>86779.85295</v>
      </c>
      <c r="N125" s="404">
        <f t="shared" si="20"/>
        <v>1736</v>
      </c>
      <c r="O125" s="404">
        <f t="shared" si="21"/>
        <v>13885</v>
      </c>
      <c r="P125" s="404">
        <f t="shared" si="22"/>
        <v>3584</v>
      </c>
      <c r="Q125" s="463">
        <f t="shared" si="16"/>
        <v>19205</v>
      </c>
      <c r="R125" s="464">
        <v>3.3610000000000002</v>
      </c>
      <c r="S125" s="463">
        <f t="shared" si="17"/>
        <v>64548.005000000005</v>
      </c>
      <c r="T125" s="397" t="s">
        <v>256</v>
      </c>
    </row>
    <row r="126" spans="1:20" ht="15" hidden="1" x14ac:dyDescent="0.25">
      <c r="A126" s="398" t="s">
        <v>1623</v>
      </c>
      <c r="B126" s="398"/>
      <c r="C126" s="400" t="str">
        <f>+IFERROR(INDEX([4]IMPORTS!$E:$E,MATCH($A126,[4]IMPORTS!$C:$C,0)),"")</f>
        <v>YARALIVA CALCINIT X BIGBAG</v>
      </c>
      <c r="D126" s="400" t="str">
        <f>+IFERROR(INDEX([4]IMPORTS!$F:$F,MATCH($A126,[4]IMPORTS!$C:$C,0)),"")</f>
        <v>YARA PERÚ SRL</v>
      </c>
      <c r="E126" s="465" t="str">
        <f>+IFERROR(INDEX([4]IMPORTS!$AF:$AF,MATCH($A126,[4]IMPORTS!$C:$C,0)),"")</f>
        <v>PAITA</v>
      </c>
      <c r="F126" s="408">
        <f>+IFERROR(INDEX([4]IMPORTS!$Y:$Y,MATCH($A126,[4]IMPORTS!$C:$C,0)),"")</f>
        <v>43950</v>
      </c>
      <c r="G126" s="408">
        <f t="shared" si="14"/>
        <v>43948</v>
      </c>
      <c r="H126" s="402">
        <f>+IFERROR(INDEX([4]IMPORTS!$P:$P,MATCH($A126,[4]IMPORTS!$C:$C,0)),"")</f>
        <v>216</v>
      </c>
      <c r="I126" s="408" t="str">
        <f>+IFERROR(INDEX([4]IMPORTS!$R:$R,MATCH($A126,[4]IMPORTS!$C:$C,0)),"")</f>
        <v>CFR</v>
      </c>
      <c r="J126" s="409">
        <f>+IFERROR(INDEX([4]IMPORTS!$S:$S,MATCH($A126,[4]IMPORTS!$C:$C,0)),"")</f>
        <v>247.67</v>
      </c>
      <c r="K126" s="403">
        <f t="shared" si="15"/>
        <v>53496.719999999994</v>
      </c>
      <c r="L126" s="403">
        <f t="shared" si="18"/>
        <v>58.846391999999994</v>
      </c>
      <c r="M126" s="403">
        <f t="shared" si="19"/>
        <v>53555.566391999993</v>
      </c>
      <c r="N126" s="404">
        <f t="shared" si="20"/>
        <v>1071</v>
      </c>
      <c r="O126" s="404">
        <f t="shared" si="21"/>
        <v>8569</v>
      </c>
      <c r="P126" s="404">
        <f t="shared" si="22"/>
        <v>2212</v>
      </c>
      <c r="Q126" s="463">
        <f t="shared" si="16"/>
        <v>11852</v>
      </c>
      <c r="R126" s="464">
        <v>3.3610000000000002</v>
      </c>
      <c r="S126" s="463">
        <f t="shared" si="17"/>
        <v>39834.572</v>
      </c>
      <c r="T126" s="397" t="s">
        <v>256</v>
      </c>
    </row>
    <row r="127" spans="1:20" ht="15" hidden="1" x14ac:dyDescent="0.25">
      <c r="A127" s="398" t="s">
        <v>1624</v>
      </c>
      <c r="B127" s="398"/>
      <c r="C127" s="400" t="str">
        <f>+IFERROR(INDEX([4]IMPORTS!$E:$E,MATCH($A127,[4]IMPORTS!$C:$C,0)),"")</f>
        <v>YARATERA CALCINIT X 25KG</v>
      </c>
      <c r="D127" s="400" t="str">
        <f>+IFERROR(INDEX([4]IMPORTS!$F:$F,MATCH($A127,[4]IMPORTS!$C:$C,0)),"")</f>
        <v>YARA PERÚ SRL</v>
      </c>
      <c r="E127" s="465" t="str">
        <f>+IFERROR(INDEX([4]IMPORTS!$AF:$AF,MATCH($A127,[4]IMPORTS!$C:$C,0)),"")</f>
        <v>PAITA</v>
      </c>
      <c r="F127" s="408">
        <f>+IFERROR(INDEX([4]IMPORTS!$Y:$Y,MATCH($A127,[4]IMPORTS!$C:$C,0)),"")</f>
        <v>43950</v>
      </c>
      <c r="G127" s="408">
        <f t="shared" si="14"/>
        <v>43948</v>
      </c>
      <c r="H127" s="402">
        <f>+IFERROR(INDEX([4]IMPORTS!$P:$P,MATCH($A127,[4]IMPORTS!$C:$C,0)),"")</f>
        <v>250</v>
      </c>
      <c r="I127" s="408" t="str">
        <f>+IFERROR(INDEX([4]IMPORTS!$R:$R,MATCH($A127,[4]IMPORTS!$C:$C,0)),"")</f>
        <v>CFR</v>
      </c>
      <c r="J127" s="409">
        <f>+IFERROR(INDEX([4]IMPORTS!$S:$S,MATCH($A127,[4]IMPORTS!$C:$C,0)),"")</f>
        <v>247.67</v>
      </c>
      <c r="K127" s="403">
        <f t="shared" si="15"/>
        <v>61917.5</v>
      </c>
      <c r="L127" s="403">
        <f t="shared" si="18"/>
        <v>68.109250000000003</v>
      </c>
      <c r="M127" s="403">
        <f t="shared" si="19"/>
        <v>61985.609250000001</v>
      </c>
      <c r="N127" s="404">
        <f t="shared" si="20"/>
        <v>1240</v>
      </c>
      <c r="O127" s="404">
        <f t="shared" si="21"/>
        <v>9918</v>
      </c>
      <c r="P127" s="404">
        <f t="shared" si="22"/>
        <v>2560</v>
      </c>
      <c r="Q127" s="463">
        <f t="shared" si="16"/>
        <v>13718</v>
      </c>
      <c r="R127" s="464">
        <v>3.3610000000000002</v>
      </c>
      <c r="S127" s="463">
        <f t="shared" si="17"/>
        <v>46106.198000000004</v>
      </c>
      <c r="T127" s="397" t="s">
        <v>256</v>
      </c>
    </row>
    <row r="128" spans="1:20" ht="15" hidden="1" x14ac:dyDescent="0.25">
      <c r="A128" s="398" t="s">
        <v>1567</v>
      </c>
      <c r="B128" s="398"/>
      <c r="C128" s="400" t="str">
        <f>+IFERROR(INDEX([4]IMPORTS!$E:$E,MATCH($A128,[4]IMPORTS!$C:$C,0)),"")</f>
        <v>MICROELEMENTO SFERA 4 - 50KG</v>
      </c>
      <c r="D128" s="400" t="str">
        <f>+IFERROR(INDEX([4]IMPORTS!$F:$F,MATCH($A128,[4]IMPORTS!$C:$C,0)),"")</f>
        <v>MANTTRA AMERICAS</v>
      </c>
      <c r="E128" s="465" t="str">
        <f>+IFERROR(INDEX([4]IMPORTS!$AF:$AF,MATCH($A128,[4]IMPORTS!$C:$C,0)),"")</f>
        <v>CALLAO</v>
      </c>
      <c r="F128" s="408">
        <f>+IFERROR(INDEX([4]IMPORTS!$Y:$Y,MATCH($A128,[4]IMPORTS!$C:$C,0)),"")</f>
        <v>43946</v>
      </c>
      <c r="G128" s="408">
        <f t="shared" si="14"/>
        <v>43944</v>
      </c>
      <c r="H128" s="402">
        <f>+IFERROR(INDEX([4]IMPORTS!$P:$P,MATCH($A128,[4]IMPORTS!$C:$C,0)),"")</f>
        <v>52</v>
      </c>
      <c r="I128" s="408" t="str">
        <f>+IFERROR(INDEX([4]IMPORTS!$R:$R,MATCH($A128,[4]IMPORTS!$C:$C,0)),"")</f>
        <v>CFR</v>
      </c>
      <c r="J128" s="409">
        <f>+IFERROR(INDEX([4]IMPORTS!$S:$S,MATCH($A128,[4]IMPORTS!$C:$C,0)),"")</f>
        <v>280</v>
      </c>
      <c r="K128" s="403">
        <f t="shared" si="15"/>
        <v>14560</v>
      </c>
      <c r="L128" s="403">
        <f t="shared" si="18"/>
        <v>16.016000000000002</v>
      </c>
      <c r="M128" s="403">
        <f t="shared" si="19"/>
        <v>14576.016</v>
      </c>
      <c r="N128" s="404">
        <f t="shared" si="20"/>
        <v>292</v>
      </c>
      <c r="O128" s="404">
        <f t="shared" si="21"/>
        <v>2332</v>
      </c>
      <c r="P128" s="404">
        <f t="shared" si="22"/>
        <v>602</v>
      </c>
      <c r="Q128" s="463">
        <f t="shared" si="16"/>
        <v>3226</v>
      </c>
      <c r="R128" s="464">
        <v>3.3610000000000002</v>
      </c>
      <c r="S128" s="463">
        <f t="shared" si="17"/>
        <v>10842.586000000001</v>
      </c>
      <c r="T128" s="397" t="s">
        <v>256</v>
      </c>
    </row>
    <row r="129" spans="1:20" ht="15" hidden="1" x14ac:dyDescent="0.25">
      <c r="A129" s="398" t="s">
        <v>1622</v>
      </c>
      <c r="B129" s="398"/>
      <c r="C129" s="400" t="str">
        <f>+IFERROR(INDEX([4]IMPORTS!$E:$E,MATCH($A129,[4]IMPORTS!$C:$C,0)),"")</f>
        <v>YARATERA CALCINIT X 25KG</v>
      </c>
      <c r="D129" s="400" t="str">
        <f>+IFERROR(INDEX([4]IMPORTS!$F:$F,MATCH($A129,[4]IMPORTS!$C:$C,0)),"")</f>
        <v>YARA PERÚ SRL</v>
      </c>
      <c r="E129" s="465" t="str">
        <f>+IFERROR(INDEX([4]IMPORTS!$AF:$AF,MATCH($A129,[4]IMPORTS!$C:$C,0)),"")</f>
        <v>PAITA</v>
      </c>
      <c r="F129" s="408">
        <f>+IFERROR(INDEX([4]IMPORTS!$Y:$Y,MATCH($A129,[4]IMPORTS!$C:$C,0)),"")</f>
        <v>43943</v>
      </c>
      <c r="G129" s="408">
        <f t="shared" si="14"/>
        <v>43941</v>
      </c>
      <c r="H129" s="402">
        <f>+IFERROR(INDEX([4]IMPORTS!$P:$P,MATCH($A129,[4]IMPORTS!$C:$C,0)),"")</f>
        <v>550</v>
      </c>
      <c r="I129" s="408" t="str">
        <f>+IFERROR(INDEX([4]IMPORTS!$R:$R,MATCH($A129,[4]IMPORTS!$C:$C,0)),"")</f>
        <v>CFR</v>
      </c>
      <c r="J129" s="409">
        <f>+IFERROR(INDEX([4]IMPORTS!$S:$S,MATCH($A129,[4]IMPORTS!$C:$C,0)),"")</f>
        <v>247.67</v>
      </c>
      <c r="K129" s="403">
        <f t="shared" si="15"/>
        <v>136218.5</v>
      </c>
      <c r="L129" s="403">
        <f t="shared" si="18"/>
        <v>149.84035</v>
      </c>
      <c r="M129" s="403">
        <f t="shared" si="19"/>
        <v>136368.34035000001</v>
      </c>
      <c r="N129" s="404">
        <f t="shared" si="20"/>
        <v>2727</v>
      </c>
      <c r="O129" s="404">
        <f t="shared" si="21"/>
        <v>21819</v>
      </c>
      <c r="P129" s="404">
        <f t="shared" si="22"/>
        <v>5632</v>
      </c>
      <c r="Q129" s="463">
        <f t="shared" si="16"/>
        <v>30178</v>
      </c>
      <c r="R129" s="464">
        <v>3.3610000000000002</v>
      </c>
      <c r="S129" s="463">
        <f t="shared" si="17"/>
        <v>101428.258</v>
      </c>
      <c r="T129" s="397" t="s">
        <v>256</v>
      </c>
    </row>
    <row r="130" spans="1:20" ht="15" hidden="1" x14ac:dyDescent="0.25">
      <c r="A130" s="398" t="s">
        <v>1663</v>
      </c>
      <c r="B130" s="398"/>
      <c r="C130" s="400" t="str">
        <f>+IFERROR(INDEX([4]IMPORTS!$E:$E,MATCH($A130,[4]IMPORTS!$C:$C,0)),"")</f>
        <v>YARATERA CALCINIT X 25KG</v>
      </c>
      <c r="D130" s="400" t="str">
        <f>+IFERROR(INDEX([4]IMPORTS!$F:$F,MATCH($A130,[4]IMPORTS!$C:$C,0)),"")</f>
        <v>YARA PERÚ SRL</v>
      </c>
      <c r="E130" s="465" t="str">
        <f>+IFERROR(INDEX([4]IMPORTS!$AF:$AF,MATCH($A130,[4]IMPORTS!$C:$C,0)),"")</f>
        <v>PAITA</v>
      </c>
      <c r="F130" s="408">
        <f>+IFERROR(INDEX([4]IMPORTS!$Y:$Y,MATCH($A130,[4]IMPORTS!$C:$C,0)),"")</f>
        <v>43971</v>
      </c>
      <c r="G130" s="408">
        <f t="shared" ref="G130:G193" si="23">+F130-2</f>
        <v>43969</v>
      </c>
      <c r="H130" s="402">
        <f>+IFERROR(INDEX([4]IMPORTS!$P:$P,MATCH($A130,[4]IMPORTS!$C:$C,0)),"")</f>
        <v>500</v>
      </c>
      <c r="I130" s="408" t="str">
        <f>+IFERROR(INDEX([4]IMPORTS!$R:$R,MATCH($A130,[4]IMPORTS!$C:$C,0)),"")</f>
        <v>CFR</v>
      </c>
      <c r="J130" s="409">
        <f>+IFERROR(INDEX([4]IMPORTS!$S:$S,MATCH($A130,[4]IMPORTS!$C:$C,0)),"")</f>
        <v>242.44</v>
      </c>
      <c r="K130" s="403">
        <f t="shared" ref="K130:K193" si="24">+H130*J130</f>
        <v>121220</v>
      </c>
      <c r="L130" s="403">
        <f t="shared" si="18"/>
        <v>133.34200000000001</v>
      </c>
      <c r="M130" s="403">
        <f t="shared" si="19"/>
        <v>121353.342</v>
      </c>
      <c r="N130" s="404">
        <f t="shared" si="20"/>
        <v>2427</v>
      </c>
      <c r="O130" s="404">
        <f t="shared" si="21"/>
        <v>19417</v>
      </c>
      <c r="P130" s="404">
        <f t="shared" si="22"/>
        <v>5012</v>
      </c>
      <c r="Q130" s="463">
        <f t="shared" ref="Q130:Q193" si="25">N130+O130+P130</f>
        <v>26856</v>
      </c>
      <c r="R130" s="464">
        <v>3.3610000000000002</v>
      </c>
      <c r="S130" s="463">
        <f t="shared" ref="S130:S193" si="26">Q130*R130</f>
        <v>90263.016000000003</v>
      </c>
      <c r="T130" s="397" t="s">
        <v>256</v>
      </c>
    </row>
    <row r="131" spans="1:20" ht="15" hidden="1" x14ac:dyDescent="0.25">
      <c r="A131" s="398" t="s">
        <v>1664</v>
      </c>
      <c r="B131" s="398"/>
      <c r="C131" s="400" t="str">
        <f>+IFERROR(INDEX([4]IMPORTS!$E:$E,MATCH($A131,[4]IMPORTS!$C:$C,0)),"")</f>
        <v>YARATERA CALCINIT X 25KG</v>
      </c>
      <c r="D131" s="400" t="str">
        <f>+IFERROR(INDEX([4]IMPORTS!$F:$F,MATCH($A131,[4]IMPORTS!$C:$C,0)),"")</f>
        <v>YARA PERÚ SRL</v>
      </c>
      <c r="E131" s="465" t="str">
        <f>+IFERROR(INDEX([4]IMPORTS!$AF:$AF,MATCH($A131,[4]IMPORTS!$C:$C,0)),"")</f>
        <v>PAITA</v>
      </c>
      <c r="F131" s="408">
        <f>+IFERROR(INDEX([4]IMPORTS!$Y:$Y,MATCH($A131,[4]IMPORTS!$C:$C,0)),"")</f>
        <v>43971</v>
      </c>
      <c r="G131" s="408">
        <f t="shared" si="23"/>
        <v>43969</v>
      </c>
      <c r="H131" s="402">
        <f>+IFERROR(INDEX([4]IMPORTS!$P:$P,MATCH($A131,[4]IMPORTS!$C:$C,0)),"")</f>
        <v>500</v>
      </c>
      <c r="I131" s="408" t="str">
        <f>+IFERROR(INDEX([4]IMPORTS!$R:$R,MATCH($A131,[4]IMPORTS!$C:$C,0)),"")</f>
        <v>CFR</v>
      </c>
      <c r="J131" s="409">
        <f>+IFERROR(INDEX([4]IMPORTS!$S:$S,MATCH($A131,[4]IMPORTS!$C:$C,0)),"")</f>
        <v>242.44</v>
      </c>
      <c r="K131" s="403">
        <f t="shared" si="24"/>
        <v>121220</v>
      </c>
      <c r="L131" s="403">
        <f t="shared" si="18"/>
        <v>133.34200000000001</v>
      </c>
      <c r="M131" s="403">
        <f t="shared" si="19"/>
        <v>121353.342</v>
      </c>
      <c r="N131" s="404">
        <f t="shared" si="20"/>
        <v>2427</v>
      </c>
      <c r="O131" s="404">
        <f t="shared" si="21"/>
        <v>19417</v>
      </c>
      <c r="P131" s="404">
        <f t="shared" si="22"/>
        <v>5012</v>
      </c>
      <c r="Q131" s="463">
        <f t="shared" si="25"/>
        <v>26856</v>
      </c>
      <c r="R131" s="464">
        <v>3.3610000000000002</v>
      </c>
      <c r="S131" s="463">
        <f t="shared" si="26"/>
        <v>90263.016000000003</v>
      </c>
      <c r="T131" s="397" t="s">
        <v>256</v>
      </c>
    </row>
    <row r="132" spans="1:20" ht="15" hidden="1" x14ac:dyDescent="0.25">
      <c r="A132" s="398" t="s">
        <v>1665</v>
      </c>
      <c r="B132" s="398"/>
      <c r="C132" s="400" t="str">
        <f>+IFERROR(INDEX([4]IMPORTS!$E:$E,MATCH($A132,[4]IMPORTS!$C:$C,0)),"")</f>
        <v>YARATERA CALCINIT X 25KG</v>
      </c>
      <c r="D132" s="400" t="str">
        <f>+IFERROR(INDEX([4]IMPORTS!$F:$F,MATCH($A132,[4]IMPORTS!$C:$C,0)),"")</f>
        <v>YARA PERÚ SRL</v>
      </c>
      <c r="E132" s="465" t="str">
        <f>+IFERROR(INDEX([4]IMPORTS!$AF:$AF,MATCH($A132,[4]IMPORTS!$C:$C,0)),"")</f>
        <v>PAITA</v>
      </c>
      <c r="F132" s="408">
        <f>+IFERROR(INDEX([4]IMPORTS!$Y:$Y,MATCH($A132,[4]IMPORTS!$C:$C,0)),"")</f>
        <v>43964</v>
      </c>
      <c r="G132" s="408">
        <f t="shared" si="23"/>
        <v>43962</v>
      </c>
      <c r="H132" s="402">
        <f>+IFERROR(INDEX([4]IMPORTS!$P:$P,MATCH($A132,[4]IMPORTS!$C:$C,0)),"")</f>
        <v>500</v>
      </c>
      <c r="I132" s="408" t="str">
        <f>+IFERROR(INDEX([4]IMPORTS!$R:$R,MATCH($A132,[4]IMPORTS!$C:$C,0)),"")</f>
        <v>CFR</v>
      </c>
      <c r="J132" s="409">
        <f>+IFERROR(INDEX([4]IMPORTS!$S:$S,MATCH($A132,[4]IMPORTS!$C:$C,0)),"")</f>
        <v>242.44</v>
      </c>
      <c r="K132" s="403">
        <f t="shared" si="24"/>
        <v>121220</v>
      </c>
      <c r="L132" s="403">
        <f t="shared" si="18"/>
        <v>133.34200000000001</v>
      </c>
      <c r="M132" s="403">
        <f t="shared" si="19"/>
        <v>121353.342</v>
      </c>
      <c r="N132" s="404">
        <f t="shared" si="20"/>
        <v>2427</v>
      </c>
      <c r="O132" s="404">
        <f t="shared" si="21"/>
        <v>19417</v>
      </c>
      <c r="P132" s="404">
        <f t="shared" si="22"/>
        <v>5012</v>
      </c>
      <c r="Q132" s="463">
        <f t="shared" si="25"/>
        <v>26856</v>
      </c>
      <c r="R132" s="464">
        <v>3.3610000000000002</v>
      </c>
      <c r="S132" s="463">
        <f t="shared" si="26"/>
        <v>90263.016000000003</v>
      </c>
      <c r="T132" s="397" t="s">
        <v>256</v>
      </c>
    </row>
    <row r="133" spans="1:20" ht="15" hidden="1" x14ac:dyDescent="0.25">
      <c r="A133" s="398" t="s">
        <v>1666</v>
      </c>
      <c r="B133" s="398"/>
      <c r="C133" s="400" t="str">
        <f>+IFERROR(INDEX([4]IMPORTS!$E:$E,MATCH($A133,[4]IMPORTS!$C:$C,0)),"")</f>
        <v>YARALIVA CALCINIT X BIGBAG</v>
      </c>
      <c r="D133" s="400" t="str">
        <f>+IFERROR(INDEX([4]IMPORTS!$F:$F,MATCH($A133,[4]IMPORTS!$C:$C,0)),"")</f>
        <v>YARA PERÚ SRL</v>
      </c>
      <c r="E133" s="465" t="str">
        <f>+IFERROR(INDEX([4]IMPORTS!$AF:$AF,MATCH($A133,[4]IMPORTS!$C:$C,0)),"")</f>
        <v>PAITA</v>
      </c>
      <c r="F133" s="408">
        <f>+IFERROR(INDEX([4]IMPORTS!$Y:$Y,MATCH($A133,[4]IMPORTS!$C:$C,0)),"")</f>
        <v>43964</v>
      </c>
      <c r="G133" s="408">
        <f t="shared" si="23"/>
        <v>43962</v>
      </c>
      <c r="H133" s="402">
        <f>+IFERROR(INDEX([4]IMPORTS!$P:$P,MATCH($A133,[4]IMPORTS!$C:$C,0)),"")</f>
        <v>216</v>
      </c>
      <c r="I133" s="408" t="str">
        <f>+IFERROR(INDEX([4]IMPORTS!$R:$R,MATCH($A133,[4]IMPORTS!$C:$C,0)),"")</f>
        <v>CFR</v>
      </c>
      <c r="J133" s="409">
        <f>+IFERROR(INDEX([4]IMPORTS!$S:$S,MATCH($A133,[4]IMPORTS!$C:$C,0)),"")</f>
        <v>242.44</v>
      </c>
      <c r="K133" s="403">
        <f t="shared" si="24"/>
        <v>52367.040000000001</v>
      </c>
      <c r="L133" s="403">
        <f t="shared" si="18"/>
        <v>57.603744000000006</v>
      </c>
      <c r="M133" s="403">
        <f t="shared" si="19"/>
        <v>52424.643744000001</v>
      </c>
      <c r="N133" s="404">
        <f t="shared" si="20"/>
        <v>1048</v>
      </c>
      <c r="O133" s="404">
        <f t="shared" si="21"/>
        <v>8388</v>
      </c>
      <c r="P133" s="404">
        <f t="shared" si="22"/>
        <v>2165</v>
      </c>
      <c r="Q133" s="463">
        <f t="shared" si="25"/>
        <v>11601</v>
      </c>
      <c r="R133" s="464">
        <v>3.3610000000000002</v>
      </c>
      <c r="S133" s="463">
        <f t="shared" si="26"/>
        <v>38990.961000000003</v>
      </c>
      <c r="T133" s="397" t="s">
        <v>256</v>
      </c>
    </row>
    <row r="134" spans="1:20" ht="15" hidden="1" x14ac:dyDescent="0.25">
      <c r="A134" s="398" t="s">
        <v>1667</v>
      </c>
      <c r="B134" s="398"/>
      <c r="C134" s="400" t="str">
        <f>+IFERROR(INDEX([4]IMPORTS!$E:$E,MATCH($A134,[4]IMPORTS!$C:$C,0)),"")</f>
        <v>YARATERA CALCINIT X 25KG</v>
      </c>
      <c r="D134" s="400" t="str">
        <f>+IFERROR(INDEX([4]IMPORTS!$F:$F,MATCH($A134,[4]IMPORTS!$C:$C,0)),"")</f>
        <v>YARA PERÚ SRL</v>
      </c>
      <c r="E134" s="465" t="str">
        <f>+IFERROR(INDEX([4]IMPORTS!$AF:$AF,MATCH($A134,[4]IMPORTS!$C:$C,0)),"")</f>
        <v>PAITA</v>
      </c>
      <c r="F134" s="408">
        <f>+IFERROR(INDEX([4]IMPORTS!$Y:$Y,MATCH($A134,[4]IMPORTS!$C:$C,0)),"")</f>
        <v>43964</v>
      </c>
      <c r="G134" s="408">
        <f t="shared" si="23"/>
        <v>43962</v>
      </c>
      <c r="H134" s="402">
        <f>+IFERROR(INDEX([4]IMPORTS!$P:$P,MATCH($A134,[4]IMPORTS!$C:$C,0)),"")</f>
        <v>225</v>
      </c>
      <c r="I134" s="408" t="str">
        <f>+IFERROR(INDEX([4]IMPORTS!$R:$R,MATCH($A134,[4]IMPORTS!$C:$C,0)),"")</f>
        <v>CFR</v>
      </c>
      <c r="J134" s="409">
        <f>+IFERROR(INDEX([4]IMPORTS!$S:$S,MATCH($A134,[4]IMPORTS!$C:$C,0)),"")</f>
        <v>242.44</v>
      </c>
      <c r="K134" s="403">
        <f t="shared" si="24"/>
        <v>54549</v>
      </c>
      <c r="L134" s="403">
        <f t="shared" si="18"/>
        <v>60.003900000000002</v>
      </c>
      <c r="M134" s="403">
        <f t="shared" si="19"/>
        <v>54609.003900000003</v>
      </c>
      <c r="N134" s="404">
        <f t="shared" si="20"/>
        <v>1092</v>
      </c>
      <c r="O134" s="404">
        <f t="shared" si="21"/>
        <v>8737</v>
      </c>
      <c r="P134" s="404">
        <f t="shared" si="22"/>
        <v>2255</v>
      </c>
      <c r="Q134" s="463">
        <f t="shared" si="25"/>
        <v>12084</v>
      </c>
      <c r="R134" s="464">
        <v>3.3610000000000002</v>
      </c>
      <c r="S134" s="463">
        <f t="shared" si="26"/>
        <v>40614.324000000001</v>
      </c>
      <c r="T134" s="397" t="s">
        <v>256</v>
      </c>
    </row>
    <row r="135" spans="1:20" ht="15" hidden="1" x14ac:dyDescent="0.25">
      <c r="A135" s="398" t="s">
        <v>1680</v>
      </c>
      <c r="B135" s="398"/>
      <c r="C135" s="400" t="str">
        <f>+IFERROR(INDEX([4]IMPORTS!$E:$E,MATCH($A135,[4]IMPORTS!$C:$C,0)),"")</f>
        <v>YARALIVA CALCINIT X BIGBAG</v>
      </c>
      <c r="D135" s="400" t="str">
        <f>+IFERROR(INDEX([4]IMPORTS!$F:$F,MATCH($A135,[4]IMPORTS!$C:$C,0)),"")</f>
        <v>YARA PERÚ SRL</v>
      </c>
      <c r="E135" s="465" t="str">
        <f>+IFERROR(INDEX([4]IMPORTS!$AF:$AF,MATCH($A135,[4]IMPORTS!$C:$C,0)),"")</f>
        <v>PAITA</v>
      </c>
      <c r="F135" s="408">
        <f>+IFERROR(INDEX([4]IMPORTS!$Y:$Y,MATCH($A135,[4]IMPORTS!$C:$C,0)),"")</f>
        <v>43978</v>
      </c>
      <c r="G135" s="408">
        <f t="shared" si="23"/>
        <v>43976</v>
      </c>
      <c r="H135" s="402">
        <f>+IFERROR(INDEX([4]IMPORTS!$P:$P,MATCH($A135,[4]IMPORTS!$C:$C,0)),"")</f>
        <v>216</v>
      </c>
      <c r="I135" s="408" t="str">
        <f>+IFERROR(INDEX([4]IMPORTS!$R:$R,MATCH($A135,[4]IMPORTS!$C:$C,0)),"")</f>
        <v>CFR</v>
      </c>
      <c r="J135" s="409">
        <f>+IFERROR(INDEX([4]IMPORTS!$S:$S,MATCH($A135,[4]IMPORTS!$C:$C,0)),"")</f>
        <v>242.44</v>
      </c>
      <c r="K135" s="403">
        <f t="shared" si="24"/>
        <v>52367.040000000001</v>
      </c>
      <c r="L135" s="403">
        <f t="shared" si="18"/>
        <v>57.603744000000006</v>
      </c>
      <c r="M135" s="403">
        <f t="shared" si="19"/>
        <v>52424.643744000001</v>
      </c>
      <c r="N135" s="404">
        <f t="shared" si="20"/>
        <v>1048</v>
      </c>
      <c r="O135" s="404">
        <f t="shared" si="21"/>
        <v>8388</v>
      </c>
      <c r="P135" s="404">
        <f t="shared" si="22"/>
        <v>2165</v>
      </c>
      <c r="Q135" s="463">
        <f t="shared" si="25"/>
        <v>11601</v>
      </c>
      <c r="R135" s="464">
        <v>3.3610000000000002</v>
      </c>
      <c r="S135" s="463">
        <f t="shared" si="26"/>
        <v>38990.961000000003</v>
      </c>
      <c r="T135" s="397" t="s">
        <v>256</v>
      </c>
    </row>
    <row r="136" spans="1:20" ht="15" hidden="1" x14ac:dyDescent="0.25">
      <c r="A136" s="398" t="s">
        <v>3073</v>
      </c>
      <c r="B136" s="398"/>
      <c r="C136" s="400" t="str">
        <f>+IFERROR(INDEX([4]IMPORTS!$E:$E,MATCH($A136,[4]IMPORTS!$C:$C,0)),"")</f>
        <v>EVOLHUMIC- DRIP X 10LT</v>
      </c>
      <c r="D136" s="400" t="str">
        <f>+IFERROR(INDEX([4]IMPORTS!$F:$F,MATCH($A136,[4]IMPORTS!$C:$C,0)),"")</f>
        <v>ACTAGRO</v>
      </c>
      <c r="E136" s="465" t="str">
        <f>+IFERROR(INDEX([4]IMPORTS!$AF:$AF,MATCH($A136,[4]IMPORTS!$C:$C,0)),"")</f>
        <v>CALLAO</v>
      </c>
      <c r="F136" s="408">
        <f>+IFERROR(INDEX([4]IMPORTS!$Y:$Y,MATCH($A136,[4]IMPORTS!$C:$C,0)),"")</f>
        <v>43959</v>
      </c>
      <c r="G136" s="408">
        <f t="shared" si="23"/>
        <v>43957</v>
      </c>
      <c r="H136" s="402">
        <f>+IFERROR(INDEX([4]IMPORTS!$P:$P,MATCH($A136,[4]IMPORTS!$C:$C,0)),"")</f>
        <v>2.88</v>
      </c>
      <c r="I136" s="408" t="str">
        <f>+IFERROR(INDEX([4]IMPORTS!$R:$R,MATCH($A136,[4]IMPORTS!$C:$C,0)),"")</f>
        <v>CFR</v>
      </c>
      <c r="J136" s="409">
        <f>+IFERROR(INDEX([4]IMPORTS!$S:$S,MATCH($A136,[4]IMPORTS!$C:$C,0)),"")</f>
        <v>2200</v>
      </c>
      <c r="K136" s="403">
        <f t="shared" si="24"/>
        <v>6336</v>
      </c>
      <c r="L136" s="403">
        <f t="shared" si="18"/>
        <v>6.9696000000000007</v>
      </c>
      <c r="M136" s="403">
        <f t="shared" si="19"/>
        <v>6342.9696000000004</v>
      </c>
      <c r="N136" s="404">
        <f t="shared" si="20"/>
        <v>127</v>
      </c>
      <c r="O136" s="404">
        <f t="shared" si="21"/>
        <v>1015</v>
      </c>
      <c r="P136" s="404">
        <f t="shared" si="22"/>
        <v>262</v>
      </c>
      <c r="Q136" s="463">
        <f t="shared" si="25"/>
        <v>1404</v>
      </c>
      <c r="R136" s="464">
        <v>3.3610000000000002</v>
      </c>
      <c r="S136" s="463">
        <f t="shared" si="26"/>
        <v>4718.8440000000001</v>
      </c>
      <c r="T136" s="397" t="s">
        <v>256</v>
      </c>
    </row>
    <row r="137" spans="1:20" ht="15" hidden="1" x14ac:dyDescent="0.25">
      <c r="A137" s="398" t="s">
        <v>3074</v>
      </c>
      <c r="B137" s="398"/>
      <c r="C137" s="400" t="str">
        <f>+IFERROR(INDEX([4]IMPORTS!$E:$E,MATCH($A137,[4]IMPORTS!$C:$C,0)),"")</f>
        <v>EVOLHUMIC- DRIP X 210LT</v>
      </c>
      <c r="D137" s="400" t="str">
        <f>+IFERROR(INDEX([4]IMPORTS!$F:$F,MATCH($A137,[4]IMPORTS!$C:$C,0)),"")</f>
        <v>ACTAGRO</v>
      </c>
      <c r="E137" s="465" t="str">
        <f>+IFERROR(INDEX([4]IMPORTS!$AF:$AF,MATCH($A137,[4]IMPORTS!$C:$C,0)),"")</f>
        <v>CALLAO</v>
      </c>
      <c r="F137" s="408">
        <f>+IFERROR(INDEX([4]IMPORTS!$Y:$Y,MATCH($A137,[4]IMPORTS!$C:$C,0)),"")</f>
        <v>43959</v>
      </c>
      <c r="G137" s="408">
        <f t="shared" si="23"/>
        <v>43957</v>
      </c>
      <c r="H137" s="402">
        <f>+IFERROR(INDEX([4]IMPORTS!$P:$P,MATCH($A137,[4]IMPORTS!$C:$C,0)),"")</f>
        <v>5</v>
      </c>
      <c r="I137" s="408" t="str">
        <f>+IFERROR(INDEX([4]IMPORTS!$R:$R,MATCH($A137,[4]IMPORTS!$C:$C,0)),"")</f>
        <v>CFR</v>
      </c>
      <c r="J137" s="409">
        <f>+IFERROR(INDEX([4]IMPORTS!$S:$S,MATCH($A137,[4]IMPORTS!$C:$C,0)),"")</f>
        <v>2200</v>
      </c>
      <c r="K137" s="403">
        <f t="shared" si="24"/>
        <v>11000</v>
      </c>
      <c r="L137" s="403">
        <f t="shared" si="18"/>
        <v>12.100000000000001</v>
      </c>
      <c r="M137" s="403">
        <f t="shared" si="19"/>
        <v>11012.1</v>
      </c>
      <c r="N137" s="404">
        <f t="shared" si="20"/>
        <v>220</v>
      </c>
      <c r="O137" s="404">
        <f t="shared" si="21"/>
        <v>1762</v>
      </c>
      <c r="P137" s="404">
        <f t="shared" si="22"/>
        <v>455</v>
      </c>
      <c r="Q137" s="463">
        <f t="shared" si="25"/>
        <v>2437</v>
      </c>
      <c r="R137" s="464">
        <v>3.3610000000000002</v>
      </c>
      <c r="S137" s="463">
        <f t="shared" si="26"/>
        <v>8190.7570000000005</v>
      </c>
      <c r="T137" s="397" t="s">
        <v>256</v>
      </c>
    </row>
    <row r="138" spans="1:20" ht="15" hidden="1" x14ac:dyDescent="0.25">
      <c r="A138" s="398" t="s">
        <v>3075</v>
      </c>
      <c r="B138" s="398"/>
      <c r="C138" s="400" t="str">
        <f>+IFERROR(INDEX([4]IMPORTS!$E:$E,MATCH($A138,[4]IMPORTS!$C:$C,0)),"")</f>
        <v>KICKUP X 10LT</v>
      </c>
      <c r="D138" s="400" t="str">
        <f>+IFERROR(INDEX([4]IMPORTS!$F:$F,MATCH($A138,[4]IMPORTS!$C:$C,0)),"")</f>
        <v>ACTAGRO</v>
      </c>
      <c r="E138" s="465" t="str">
        <f>+IFERROR(INDEX([4]IMPORTS!$AF:$AF,MATCH($A138,[4]IMPORTS!$C:$C,0)),"")</f>
        <v>CALLAO</v>
      </c>
      <c r="F138" s="408">
        <f>+IFERROR(INDEX([4]IMPORTS!$Y:$Y,MATCH($A138,[4]IMPORTS!$C:$C,0)),"")</f>
        <v>43959</v>
      </c>
      <c r="G138" s="408">
        <f t="shared" si="23"/>
        <v>43957</v>
      </c>
      <c r="H138" s="402">
        <f>+IFERROR(INDEX([4]IMPORTS!$P:$P,MATCH($A138,[4]IMPORTS!$C:$C,0)),"")</f>
        <v>5.76</v>
      </c>
      <c r="I138" s="408" t="str">
        <f>+IFERROR(INDEX([4]IMPORTS!$R:$R,MATCH($A138,[4]IMPORTS!$C:$C,0)),"")</f>
        <v>CFR</v>
      </c>
      <c r="J138" s="409">
        <f>+IFERROR(INDEX([4]IMPORTS!$S:$S,MATCH($A138,[4]IMPORTS!$C:$C,0)),"")</f>
        <v>3020</v>
      </c>
      <c r="K138" s="403">
        <f t="shared" si="24"/>
        <v>17395.2</v>
      </c>
      <c r="L138" s="403">
        <f t="shared" si="18"/>
        <v>19.134720000000002</v>
      </c>
      <c r="M138" s="403">
        <f t="shared" si="19"/>
        <v>17414.334719999999</v>
      </c>
      <c r="N138" s="404">
        <f t="shared" si="20"/>
        <v>348</v>
      </c>
      <c r="O138" s="404">
        <f t="shared" si="21"/>
        <v>2786</v>
      </c>
      <c r="P138" s="404">
        <f t="shared" si="22"/>
        <v>719</v>
      </c>
      <c r="Q138" s="463">
        <f t="shared" si="25"/>
        <v>3853</v>
      </c>
      <c r="R138" s="464">
        <v>3.3610000000000002</v>
      </c>
      <c r="S138" s="463">
        <f t="shared" si="26"/>
        <v>12949.933000000001</v>
      </c>
      <c r="T138" s="397" t="s">
        <v>256</v>
      </c>
    </row>
    <row r="139" spans="1:20" ht="15" hidden="1" x14ac:dyDescent="0.25">
      <c r="A139" s="398" t="s">
        <v>1572</v>
      </c>
      <c r="B139" s="398"/>
      <c r="C139" s="400" t="str">
        <f>+IFERROR(INDEX([4]IMPORTS!$E:$E,MATCH($A139,[4]IMPORTS!$C:$C,0)),"")</f>
        <v>NYIELD ADITIVO</v>
      </c>
      <c r="D139" s="400" t="str">
        <f>+IFERROR(INDEX([4]IMPORTS!$F:$F,MATCH($A139,[4]IMPORTS!$C:$C,0)),"")</f>
        <v>WEGROW AG</v>
      </c>
      <c r="E139" s="465" t="str">
        <f>+IFERROR(INDEX([4]IMPORTS!$AF:$AF,MATCH($A139,[4]IMPORTS!$C:$C,0)),"")</f>
        <v>CALLAO</v>
      </c>
      <c r="F139" s="408">
        <f>+IFERROR(INDEX([4]IMPORTS!$Y:$Y,MATCH($A139,[4]IMPORTS!$C:$C,0)),"")</f>
        <v>43959</v>
      </c>
      <c r="G139" s="408">
        <f t="shared" si="23"/>
        <v>43957</v>
      </c>
      <c r="H139" s="402">
        <f>+IFERROR(INDEX([4]IMPORTS!$P:$P,MATCH($A139,[4]IMPORTS!$C:$C,0)),"")</f>
        <v>11.1815</v>
      </c>
      <c r="I139" s="408" t="str">
        <f>+IFERROR(INDEX([4]IMPORTS!$R:$R,MATCH($A139,[4]IMPORTS!$C:$C,0)),"")</f>
        <v>CPT</v>
      </c>
      <c r="J139" s="409">
        <f>+IFERROR(INDEX([4]IMPORTS!$S:$S,MATCH($A139,[4]IMPORTS!$C:$C,0)),"")</f>
        <v>9479.9445512677194</v>
      </c>
      <c r="K139" s="403">
        <f t="shared" si="24"/>
        <v>106000</v>
      </c>
      <c r="L139" s="403">
        <f t="shared" si="18"/>
        <v>116.60000000000001</v>
      </c>
      <c r="M139" s="403">
        <f t="shared" si="19"/>
        <v>106116.6</v>
      </c>
      <c r="N139" s="404">
        <f t="shared" si="20"/>
        <v>2122</v>
      </c>
      <c r="O139" s="404">
        <f t="shared" si="21"/>
        <v>16979</v>
      </c>
      <c r="P139" s="404">
        <f t="shared" si="22"/>
        <v>4383</v>
      </c>
      <c r="Q139" s="463">
        <f t="shared" si="25"/>
        <v>23484</v>
      </c>
      <c r="R139" s="464">
        <v>3.3610000000000002</v>
      </c>
      <c r="S139" s="463">
        <f t="shared" si="26"/>
        <v>78929.724000000002</v>
      </c>
      <c r="T139" s="397" t="s">
        <v>256</v>
      </c>
    </row>
    <row r="140" spans="1:20" ht="15" hidden="1" x14ac:dyDescent="0.25">
      <c r="A140" s="398" t="s">
        <v>1576</v>
      </c>
      <c r="B140" s="398"/>
      <c r="C140" s="400" t="str">
        <f>+IFERROR(INDEX([4]IMPORTS!$E:$E,MATCH($A140,[4]IMPORTS!$C:$C,0)),"")</f>
        <v>POLISULFATO GRANULADO</v>
      </c>
      <c r="D140" s="400" t="str">
        <f>+IFERROR(INDEX([4]IMPORTS!$F:$F,MATCH($A140,[4]IMPORTS!$C:$C,0)),"")</f>
        <v>ICL EUROPE COOPERATIEF U.A.</v>
      </c>
      <c r="E140" s="465" t="str">
        <f>+IFERROR(INDEX([4]IMPORTS!$AF:$AF,MATCH($A140,[4]IMPORTS!$C:$C,0)),"")</f>
        <v>CALLAO</v>
      </c>
      <c r="F140" s="408">
        <f>+IFERROR(INDEX([4]IMPORTS!$Y:$Y,MATCH($A140,[4]IMPORTS!$C:$C,0)),"")</f>
        <v>43973</v>
      </c>
      <c r="G140" s="408">
        <f t="shared" si="23"/>
        <v>43971</v>
      </c>
      <c r="H140" s="402">
        <f>+IFERROR(INDEX([4]IMPORTS!$P:$P,MATCH($A140,[4]IMPORTS!$C:$C,0)),"")</f>
        <v>251.71</v>
      </c>
      <c r="I140" s="408" t="str">
        <f>+IFERROR(INDEX([4]IMPORTS!$R:$R,MATCH($A140,[4]IMPORTS!$C:$C,0)),"")</f>
        <v>CFR</v>
      </c>
      <c r="J140" s="409">
        <f>+IFERROR(INDEX([4]IMPORTS!$S:$S,MATCH($A140,[4]IMPORTS!$C:$C,0)),"")</f>
        <v>215</v>
      </c>
      <c r="K140" s="403">
        <f t="shared" si="24"/>
        <v>54117.65</v>
      </c>
      <c r="L140" s="403">
        <f t="shared" si="18"/>
        <v>59.529415000000007</v>
      </c>
      <c r="M140" s="403">
        <f t="shared" si="19"/>
        <v>54177.179414999999</v>
      </c>
      <c r="N140" s="404">
        <f t="shared" si="20"/>
        <v>1084</v>
      </c>
      <c r="O140" s="404">
        <f t="shared" si="21"/>
        <v>8668</v>
      </c>
      <c r="P140" s="404">
        <f t="shared" si="22"/>
        <v>2238</v>
      </c>
      <c r="Q140" s="463">
        <f t="shared" si="25"/>
        <v>11990</v>
      </c>
      <c r="R140" s="464">
        <v>3.3610000000000002</v>
      </c>
      <c r="S140" s="463">
        <f t="shared" si="26"/>
        <v>40298.39</v>
      </c>
      <c r="T140" s="397" t="s">
        <v>256</v>
      </c>
    </row>
    <row r="141" spans="1:20" ht="15" hidden="1" x14ac:dyDescent="0.25">
      <c r="A141" s="398" t="s">
        <v>1587</v>
      </c>
      <c r="B141" s="398"/>
      <c r="C141" s="400" t="str">
        <f>+IFERROR(INDEX([4]IMPORTS!$E:$E,MATCH($A141,[4]IMPORTS!$C:$C,0)),"")</f>
        <v>VEGEX CRISOIL X 20L</v>
      </c>
      <c r="D141" s="400" t="str">
        <f>+IFERROR(INDEX([4]IMPORTS!$F:$F,MATCH($A141,[4]IMPORTS!$C:$C,0)),"")</f>
        <v>IDAI NATURE</v>
      </c>
      <c r="E141" s="465" t="str">
        <f>+IFERROR(INDEX([4]IMPORTS!$AF:$AF,MATCH($A141,[4]IMPORTS!$C:$C,0)),"")</f>
        <v>CALLAO</v>
      </c>
      <c r="F141" s="408">
        <f>+IFERROR(INDEX([4]IMPORTS!$Y:$Y,MATCH($A141,[4]IMPORTS!$C:$C,0)),"")</f>
        <v>43959</v>
      </c>
      <c r="G141" s="408">
        <f t="shared" si="23"/>
        <v>43957</v>
      </c>
      <c r="H141" s="402">
        <f>+IFERROR(INDEX([4]IMPORTS!$P:$P,MATCH($A141,[4]IMPORTS!$C:$C,0)),"")</f>
        <v>1.7856000000000001</v>
      </c>
      <c r="I141" s="408" t="str">
        <f>+IFERROR(INDEX([4]IMPORTS!$R:$R,MATCH($A141,[4]IMPORTS!$C:$C,0)),"")</f>
        <v>CIF</v>
      </c>
      <c r="J141" s="409">
        <f>+IFERROR(INDEX([4]IMPORTS!$S:$S,MATCH($A141,[4]IMPORTS!$C:$C,0)),"")</f>
        <v>41097.826928154565</v>
      </c>
      <c r="K141" s="403">
        <f t="shared" si="24"/>
        <v>73384.279762912789</v>
      </c>
      <c r="L141" s="403">
        <f t="shared" si="18"/>
        <v>80.722707739204068</v>
      </c>
      <c r="M141" s="403">
        <f t="shared" si="19"/>
        <v>73465.002470651991</v>
      </c>
      <c r="N141" s="404">
        <f t="shared" si="20"/>
        <v>1469</v>
      </c>
      <c r="O141" s="404">
        <f t="shared" si="21"/>
        <v>11754</v>
      </c>
      <c r="P141" s="404">
        <f t="shared" si="22"/>
        <v>3034</v>
      </c>
      <c r="Q141" s="463">
        <f t="shared" si="25"/>
        <v>16257</v>
      </c>
      <c r="R141" s="464">
        <v>3.3610000000000002</v>
      </c>
      <c r="S141" s="463">
        <f t="shared" si="26"/>
        <v>54639.777000000002</v>
      </c>
      <c r="T141" s="397" t="s">
        <v>256</v>
      </c>
    </row>
    <row r="142" spans="1:20" ht="15" hidden="1" x14ac:dyDescent="0.25">
      <c r="A142" s="398" t="s">
        <v>1588</v>
      </c>
      <c r="B142" s="398"/>
      <c r="C142" s="400" t="str">
        <f>+IFERROR(INDEX([4]IMPORTS!$E:$E,MATCH($A142,[4]IMPORTS!$C:$C,0)),"")</f>
        <v>BIPOCLEAN X 25KG</v>
      </c>
      <c r="D142" s="400" t="str">
        <f>+IFERROR(INDEX([4]IMPORTS!$F:$F,MATCH($A142,[4]IMPORTS!$C:$C,0)),"")</f>
        <v>IDAI NATURE</v>
      </c>
      <c r="E142" s="465" t="str">
        <f>+IFERROR(INDEX([4]IMPORTS!$AF:$AF,MATCH($A142,[4]IMPORTS!$C:$C,0)),"")</f>
        <v>CALLAO</v>
      </c>
      <c r="F142" s="408">
        <f>+IFERROR(INDEX([4]IMPORTS!$Y:$Y,MATCH($A142,[4]IMPORTS!$C:$C,0)),"")</f>
        <v>43959</v>
      </c>
      <c r="G142" s="408">
        <f t="shared" si="23"/>
        <v>43957</v>
      </c>
      <c r="H142" s="402">
        <f>+IFERROR(INDEX([4]IMPORTS!$P:$P,MATCH($A142,[4]IMPORTS!$C:$C,0)),"")</f>
        <v>1.2</v>
      </c>
      <c r="I142" s="408" t="str">
        <f>+IFERROR(INDEX([4]IMPORTS!$R:$R,MATCH($A142,[4]IMPORTS!$C:$C,0)),"")</f>
        <v>CIF</v>
      </c>
      <c r="J142" s="409">
        <f>+IFERROR(INDEX([4]IMPORTS!$S:$S,MATCH($A142,[4]IMPORTS!$C:$C,0)),"")</f>
        <v>4670.9790431837419</v>
      </c>
      <c r="K142" s="403">
        <f t="shared" si="24"/>
        <v>5605.1748518204904</v>
      </c>
      <c r="L142" s="403">
        <f t="shared" si="18"/>
        <v>6.1656923370025396</v>
      </c>
      <c r="M142" s="403">
        <f t="shared" si="19"/>
        <v>5611.3405441574932</v>
      </c>
      <c r="N142" s="404">
        <f t="shared" si="20"/>
        <v>112</v>
      </c>
      <c r="O142" s="404">
        <f t="shared" si="21"/>
        <v>898</v>
      </c>
      <c r="P142" s="404">
        <f t="shared" si="22"/>
        <v>232</v>
      </c>
      <c r="Q142" s="463">
        <f t="shared" si="25"/>
        <v>1242</v>
      </c>
      <c r="R142" s="464">
        <v>3.3610000000000002</v>
      </c>
      <c r="S142" s="463">
        <f t="shared" si="26"/>
        <v>4174.3620000000001</v>
      </c>
      <c r="T142" s="397" t="s">
        <v>256</v>
      </c>
    </row>
    <row r="143" spans="1:20" ht="15" hidden="1" x14ac:dyDescent="0.25">
      <c r="A143" s="398" t="s">
        <v>1589</v>
      </c>
      <c r="B143" s="398"/>
      <c r="C143" s="400" t="str">
        <f>+IFERROR(INDEX([4]IMPORTS!$E:$E,MATCH($A143,[4]IMPORTS!$C:$C,0)),"")</f>
        <v>BIPOCLEAN X 5KG</v>
      </c>
      <c r="D143" s="400" t="str">
        <f>+IFERROR(INDEX([4]IMPORTS!$F:$F,MATCH($A143,[4]IMPORTS!$C:$C,0)),"")</f>
        <v>IDAI NATURE</v>
      </c>
      <c r="E143" s="465" t="str">
        <f>+IFERROR(INDEX([4]IMPORTS!$AF:$AF,MATCH($A143,[4]IMPORTS!$C:$C,0)),"")</f>
        <v>CALLAO</v>
      </c>
      <c r="F143" s="408">
        <f>+IFERROR(INDEX([4]IMPORTS!$Y:$Y,MATCH($A143,[4]IMPORTS!$C:$C,0)),"")</f>
        <v>43959</v>
      </c>
      <c r="G143" s="408">
        <f t="shared" si="23"/>
        <v>43957</v>
      </c>
      <c r="H143" s="402">
        <f>+IFERROR(INDEX([4]IMPORTS!$P:$P,MATCH($A143,[4]IMPORTS!$C:$C,0)),"")</f>
        <v>2.2000000000000002</v>
      </c>
      <c r="I143" s="408" t="str">
        <f>+IFERROR(INDEX([4]IMPORTS!$R:$R,MATCH($A143,[4]IMPORTS!$C:$C,0)),"")</f>
        <v>CIF</v>
      </c>
      <c r="J143" s="409">
        <f>+IFERROR(INDEX([4]IMPORTS!$S:$S,MATCH($A143,[4]IMPORTS!$C:$C,0)),"")</f>
        <v>6170.9790431837419</v>
      </c>
      <c r="K143" s="403">
        <f t="shared" si="24"/>
        <v>13576.153895004234</v>
      </c>
      <c r="L143" s="403">
        <f t="shared" si="18"/>
        <v>14.933769284504658</v>
      </c>
      <c r="M143" s="403">
        <f t="shared" si="19"/>
        <v>13591.087664288738</v>
      </c>
      <c r="N143" s="404">
        <f t="shared" si="20"/>
        <v>272</v>
      </c>
      <c r="O143" s="404">
        <f t="shared" si="21"/>
        <v>2175</v>
      </c>
      <c r="P143" s="404">
        <f t="shared" si="22"/>
        <v>561</v>
      </c>
      <c r="Q143" s="463">
        <f t="shared" si="25"/>
        <v>3008</v>
      </c>
      <c r="R143" s="464">
        <v>3.3610000000000002</v>
      </c>
      <c r="S143" s="463">
        <f t="shared" si="26"/>
        <v>10109.888000000001</v>
      </c>
      <c r="T143" s="397" t="s">
        <v>256</v>
      </c>
    </row>
    <row r="144" spans="1:20" ht="15" hidden="1" x14ac:dyDescent="0.25">
      <c r="A144" s="398" t="s">
        <v>1590</v>
      </c>
      <c r="B144" s="398"/>
      <c r="C144" s="400" t="str">
        <f>+IFERROR(INDEX([4]IMPORTS!$E:$E,MATCH($A144,[4]IMPORTS!$C:$C,0)),"")</f>
        <v>VEGEX KUNEKA PLUS X 20L</v>
      </c>
      <c r="D144" s="400" t="str">
        <f>+IFERROR(INDEX([4]IMPORTS!$F:$F,MATCH($A144,[4]IMPORTS!$C:$C,0)),"")</f>
        <v>IDAI NATURE</v>
      </c>
      <c r="E144" s="465" t="str">
        <f>+IFERROR(INDEX([4]IMPORTS!$AF:$AF,MATCH($A144,[4]IMPORTS!$C:$C,0)),"")</f>
        <v>CALLAO</v>
      </c>
      <c r="F144" s="408">
        <f>+IFERROR(INDEX([4]IMPORTS!$Y:$Y,MATCH($A144,[4]IMPORTS!$C:$C,0)),"")</f>
        <v>43959</v>
      </c>
      <c r="G144" s="408">
        <f t="shared" si="23"/>
        <v>43957</v>
      </c>
      <c r="H144" s="402">
        <f>+IFERROR(INDEX([4]IMPORTS!$P:$P,MATCH($A144,[4]IMPORTS!$C:$C,0)),"")</f>
        <v>0.89280000000000004</v>
      </c>
      <c r="I144" s="408" t="str">
        <f>+IFERROR(INDEX([4]IMPORTS!$R:$R,MATCH($A144,[4]IMPORTS!$C:$C,0)),"")</f>
        <v>CIF</v>
      </c>
      <c r="J144" s="409">
        <f>+IFERROR(INDEX([4]IMPORTS!$S:$S,MATCH($A144,[4]IMPORTS!$C:$C,0)),"")</f>
        <v>20398.902196971761</v>
      </c>
      <c r="K144" s="403">
        <f t="shared" si="24"/>
        <v>18212.139881456391</v>
      </c>
      <c r="L144" s="403">
        <f t="shared" si="18"/>
        <v>20.033353869602031</v>
      </c>
      <c r="M144" s="403">
        <f t="shared" si="19"/>
        <v>18232.173235325994</v>
      </c>
      <c r="N144" s="404">
        <f t="shared" si="20"/>
        <v>365</v>
      </c>
      <c r="O144" s="404">
        <f t="shared" si="21"/>
        <v>2917</v>
      </c>
      <c r="P144" s="404">
        <f t="shared" si="22"/>
        <v>753</v>
      </c>
      <c r="Q144" s="463">
        <f t="shared" si="25"/>
        <v>4035</v>
      </c>
      <c r="R144" s="464">
        <v>3.3610000000000002</v>
      </c>
      <c r="S144" s="463">
        <f t="shared" si="26"/>
        <v>13561.635</v>
      </c>
      <c r="T144" s="397" t="s">
        <v>256</v>
      </c>
    </row>
    <row r="145" spans="1:20" ht="15" hidden="1" x14ac:dyDescent="0.25">
      <c r="A145" s="398" t="s">
        <v>1591</v>
      </c>
      <c r="B145" s="398"/>
      <c r="C145" s="400" t="str">
        <f>+IFERROR(INDEX([4]IMPORTS!$E:$E,MATCH($A145,[4]IMPORTS!$C:$C,0)),"")</f>
        <v>IDAI BROTAVERD X 1 LT</v>
      </c>
      <c r="D145" s="400" t="str">
        <f>+IFERROR(INDEX([4]IMPORTS!$F:$F,MATCH($A145,[4]IMPORTS!$C:$C,0)),"")</f>
        <v>IDAI NATURE</v>
      </c>
      <c r="E145" s="465" t="str">
        <f>+IFERROR(INDEX([4]IMPORTS!$AF:$AF,MATCH($A145,[4]IMPORTS!$C:$C,0)),"")</f>
        <v>CALLAO</v>
      </c>
      <c r="F145" s="408">
        <f>+IFERROR(INDEX([4]IMPORTS!$Y:$Y,MATCH($A145,[4]IMPORTS!$C:$C,0)),"")</f>
        <v>43959</v>
      </c>
      <c r="G145" s="408">
        <f t="shared" si="23"/>
        <v>43957</v>
      </c>
      <c r="H145" s="402">
        <f>+IFERROR(INDEX([4]IMPORTS!$P:$P,MATCH($A145,[4]IMPORTS!$C:$C,0)),"")</f>
        <v>0.94247999999999998</v>
      </c>
      <c r="I145" s="408" t="str">
        <f>+IFERROR(INDEX([4]IMPORTS!$R:$R,MATCH($A145,[4]IMPORTS!$C:$C,0)),"")</f>
        <v>CIF</v>
      </c>
      <c r="J145" s="409">
        <f>+IFERROR(INDEX([4]IMPORTS!$S:$S,MATCH($A145,[4]IMPORTS!$C:$C,0)),"")</f>
        <v>8631.0748262048255</v>
      </c>
      <c r="K145" s="403">
        <f t="shared" si="24"/>
        <v>8134.6154022015235</v>
      </c>
      <c r="L145" s="403">
        <f t="shared" si="18"/>
        <v>8.9480769424216771</v>
      </c>
      <c r="M145" s="403">
        <f t="shared" si="19"/>
        <v>8143.5634791439452</v>
      </c>
      <c r="N145" s="404">
        <f t="shared" si="20"/>
        <v>163</v>
      </c>
      <c r="O145" s="404">
        <f t="shared" si="21"/>
        <v>1303</v>
      </c>
      <c r="P145" s="404">
        <f t="shared" si="22"/>
        <v>336</v>
      </c>
      <c r="Q145" s="463">
        <f t="shared" si="25"/>
        <v>1802</v>
      </c>
      <c r="R145" s="464">
        <v>3.3610000000000002</v>
      </c>
      <c r="S145" s="463">
        <f t="shared" si="26"/>
        <v>6056.5219999999999</v>
      </c>
      <c r="T145" s="397" t="s">
        <v>256</v>
      </c>
    </row>
    <row r="146" spans="1:20" ht="15" hidden="1" x14ac:dyDescent="0.25">
      <c r="A146" s="398" t="s">
        <v>1592</v>
      </c>
      <c r="B146" s="398"/>
      <c r="C146" s="400" t="str">
        <f>+IFERROR(INDEX([4]IMPORTS!$E:$E,MATCH($A146,[4]IMPORTS!$C:$C,0)),"")</f>
        <v>IDAI COBRE X 1 LT</v>
      </c>
      <c r="D146" s="400" t="str">
        <f>+IFERROR(INDEX([4]IMPORTS!$F:$F,MATCH($A146,[4]IMPORTS!$C:$C,0)),"")</f>
        <v>IDAI NATURE</v>
      </c>
      <c r="E146" s="465" t="str">
        <f>+IFERROR(INDEX([4]IMPORTS!$AF:$AF,MATCH($A146,[4]IMPORTS!$C:$C,0)),"")</f>
        <v>CALLAO</v>
      </c>
      <c r="F146" s="408">
        <f>+IFERROR(INDEX([4]IMPORTS!$Y:$Y,MATCH($A146,[4]IMPORTS!$C:$C,0)),"")</f>
        <v>43959</v>
      </c>
      <c r="G146" s="408">
        <f t="shared" si="23"/>
        <v>43957</v>
      </c>
      <c r="H146" s="402">
        <f>+IFERROR(INDEX([4]IMPORTS!$P:$P,MATCH($A146,[4]IMPORTS!$C:$C,0)),"")</f>
        <v>1.00712</v>
      </c>
      <c r="I146" s="408" t="str">
        <f>+IFERROR(INDEX([4]IMPORTS!$R:$R,MATCH($A146,[4]IMPORTS!$C:$C,0)),"")</f>
        <v>CIF</v>
      </c>
      <c r="J146" s="409">
        <f>+IFERROR(INDEX([4]IMPORTS!$S:$S,MATCH($A146,[4]IMPORTS!$C:$C,0)),"")</f>
        <v>7605.2659089299423</v>
      </c>
      <c r="K146" s="403">
        <f t="shared" si="24"/>
        <v>7659.4154022015236</v>
      </c>
      <c r="L146" s="403">
        <f t="shared" si="18"/>
        <v>8.4253569424216757</v>
      </c>
      <c r="M146" s="403">
        <f t="shared" si="19"/>
        <v>7667.8407591439454</v>
      </c>
      <c r="N146" s="404">
        <f t="shared" si="20"/>
        <v>153</v>
      </c>
      <c r="O146" s="404">
        <f t="shared" si="21"/>
        <v>1227</v>
      </c>
      <c r="P146" s="404">
        <f t="shared" si="22"/>
        <v>317</v>
      </c>
      <c r="Q146" s="463">
        <f t="shared" si="25"/>
        <v>1697</v>
      </c>
      <c r="R146" s="464">
        <v>3.3610000000000002</v>
      </c>
      <c r="S146" s="463">
        <f t="shared" si="26"/>
        <v>5703.6170000000002</v>
      </c>
      <c r="T146" s="397" t="s">
        <v>256</v>
      </c>
    </row>
    <row r="147" spans="1:20" ht="15" hidden="1" x14ac:dyDescent="0.25">
      <c r="A147" s="398" t="s">
        <v>1593</v>
      </c>
      <c r="B147" s="398"/>
      <c r="C147" s="400" t="str">
        <f>+IFERROR(INDEX([4]IMPORTS!$E:$E,MATCH($A147,[4]IMPORTS!$C:$C,0)),"")</f>
        <v>VEGEX PROTOIL X 1L</v>
      </c>
      <c r="D147" s="400" t="str">
        <f>+IFERROR(INDEX([4]IMPORTS!$F:$F,MATCH($A147,[4]IMPORTS!$C:$C,0)),"")</f>
        <v>IDAI NATURE</v>
      </c>
      <c r="E147" s="465" t="str">
        <f>+IFERROR(INDEX([4]IMPORTS!$AF:$AF,MATCH($A147,[4]IMPORTS!$C:$C,0)),"")</f>
        <v>CALLAO</v>
      </c>
      <c r="F147" s="408">
        <f>+IFERROR(INDEX([4]IMPORTS!$Y:$Y,MATCH($A147,[4]IMPORTS!$C:$C,0)),"")</f>
        <v>43959</v>
      </c>
      <c r="G147" s="408">
        <f t="shared" si="23"/>
        <v>43957</v>
      </c>
      <c r="H147" s="402">
        <f>+IFERROR(INDEX([4]IMPORTS!$P:$P,MATCH($A147,[4]IMPORTS!$C:$C,0)),"")</f>
        <v>0.72072000000000003</v>
      </c>
      <c r="I147" s="408" t="str">
        <f>+IFERROR(INDEX([4]IMPORTS!$R:$R,MATCH($A147,[4]IMPORTS!$C:$C,0)),"")</f>
        <v>CIF</v>
      </c>
      <c r="J147" s="409">
        <f>+IFERROR(INDEX([4]IMPORTS!$S:$S,MATCH($A147,[4]IMPORTS!$C:$C,0)),"")</f>
        <v>7440.6363111909204</v>
      </c>
      <c r="K147" s="403">
        <f t="shared" si="24"/>
        <v>5362.6154022015207</v>
      </c>
      <c r="L147" s="403">
        <f t="shared" si="18"/>
        <v>5.8988769424216736</v>
      </c>
      <c r="M147" s="403">
        <f t="shared" si="19"/>
        <v>5368.5142791439421</v>
      </c>
      <c r="N147" s="404">
        <f t="shared" si="20"/>
        <v>107</v>
      </c>
      <c r="O147" s="404">
        <f t="shared" si="21"/>
        <v>859</v>
      </c>
      <c r="P147" s="404">
        <f t="shared" si="22"/>
        <v>222</v>
      </c>
      <c r="Q147" s="463">
        <f t="shared" si="25"/>
        <v>1188</v>
      </c>
      <c r="R147" s="464">
        <v>3.3610000000000002</v>
      </c>
      <c r="S147" s="463">
        <f t="shared" si="26"/>
        <v>3992.8680000000004</v>
      </c>
      <c r="T147" s="397" t="s">
        <v>256</v>
      </c>
    </row>
    <row r="148" spans="1:20" ht="15" hidden="1" x14ac:dyDescent="0.25">
      <c r="A148" s="398" t="s">
        <v>1594</v>
      </c>
      <c r="B148" s="398"/>
      <c r="C148" s="400" t="str">
        <f>+IFERROR(INDEX([4]IMPORTS!$E:$E,MATCH($A148,[4]IMPORTS!$C:$C,0)),"")</f>
        <v>NATURDAI S-SYSTEM X 1 LT</v>
      </c>
      <c r="D148" s="400" t="str">
        <f>+IFERROR(INDEX([4]IMPORTS!$F:$F,MATCH($A148,[4]IMPORTS!$C:$C,0)),"")</f>
        <v>IDAI NATURE</v>
      </c>
      <c r="E148" s="465" t="str">
        <f>+IFERROR(INDEX([4]IMPORTS!$AF:$AF,MATCH($A148,[4]IMPORTS!$C:$C,0)),"")</f>
        <v>CALLAO</v>
      </c>
      <c r="F148" s="408">
        <f>+IFERROR(INDEX([4]IMPORTS!$Y:$Y,MATCH($A148,[4]IMPORTS!$C:$C,0)),"")</f>
        <v>43959</v>
      </c>
      <c r="G148" s="408">
        <f t="shared" si="23"/>
        <v>43957</v>
      </c>
      <c r="H148" s="402">
        <f>+IFERROR(INDEX([4]IMPORTS!$P:$P,MATCH($A148,[4]IMPORTS!$C:$C,0)),"")</f>
        <v>0.99</v>
      </c>
      <c r="I148" s="408" t="str">
        <f>+IFERROR(INDEX([4]IMPORTS!$R:$R,MATCH($A148,[4]IMPORTS!$C:$C,0)),"")</f>
        <v>CIF</v>
      </c>
      <c r="J148" s="409">
        <f>+IFERROR(INDEX([4]IMPORTS!$S:$S,MATCH($A148,[4]IMPORTS!$C:$C,0)),"")</f>
        <v>9776.7832345469924</v>
      </c>
      <c r="K148" s="403">
        <f t="shared" si="24"/>
        <v>9679.0154022015231</v>
      </c>
      <c r="L148" s="403">
        <f t="shared" si="18"/>
        <v>10.646916942421676</v>
      </c>
      <c r="M148" s="403">
        <f t="shared" si="19"/>
        <v>9689.6623191439448</v>
      </c>
      <c r="N148" s="404">
        <f t="shared" si="20"/>
        <v>194</v>
      </c>
      <c r="O148" s="404">
        <f t="shared" si="21"/>
        <v>1550</v>
      </c>
      <c r="P148" s="404">
        <f t="shared" si="22"/>
        <v>400</v>
      </c>
      <c r="Q148" s="463">
        <f t="shared" si="25"/>
        <v>2144</v>
      </c>
      <c r="R148" s="464">
        <v>3.3610000000000002</v>
      </c>
      <c r="S148" s="463">
        <f t="shared" si="26"/>
        <v>7205.9840000000004</v>
      </c>
      <c r="T148" s="397" t="s">
        <v>256</v>
      </c>
    </row>
    <row r="149" spans="1:20" ht="15" hidden="1" x14ac:dyDescent="0.25">
      <c r="A149" s="398" t="s">
        <v>1617</v>
      </c>
      <c r="B149" s="398"/>
      <c r="C149" s="400" t="str">
        <f>+IFERROR(INDEX([4]IMPORTS!$E:$E,MATCH($A149,[4]IMPORTS!$C:$C,0)),"")</f>
        <v>ÁCIDO FOSFÓRICO</v>
      </c>
      <c r="D149" s="400" t="str">
        <f>+IFERROR(INDEX([4]IMPORTS!$F:$F,MATCH($A149,[4]IMPORTS!$C:$C,0)),"")</f>
        <v>NITRON GROUP LLC</v>
      </c>
      <c r="E149" s="465" t="str">
        <f>+IFERROR(INDEX([4]IMPORTS!$AF:$AF,MATCH($A149,[4]IMPORTS!$C:$C,0)),"")</f>
        <v>PAITA</v>
      </c>
      <c r="F149" s="408">
        <f>+IFERROR(INDEX([4]IMPORTS!$Y:$Y,MATCH($A149,[4]IMPORTS!$C:$C,0)),"")</f>
        <v>43959</v>
      </c>
      <c r="G149" s="408">
        <f t="shared" si="23"/>
        <v>43957</v>
      </c>
      <c r="H149" s="402">
        <f>+IFERROR(INDEX([4]IMPORTS!$P:$P,MATCH($A149,[4]IMPORTS!$C:$C,0)),"")</f>
        <v>384</v>
      </c>
      <c r="I149" s="408" t="str">
        <f>+IFERROR(INDEX([4]IMPORTS!$R:$R,MATCH($A149,[4]IMPORTS!$C:$C,0)),"")</f>
        <v>CFR</v>
      </c>
      <c r="J149" s="409">
        <f>+IFERROR(INDEX([4]IMPORTS!$S:$S,MATCH($A149,[4]IMPORTS!$C:$C,0)),"")</f>
        <v>910</v>
      </c>
      <c r="K149" s="403">
        <f t="shared" si="24"/>
        <v>349440</v>
      </c>
      <c r="L149" s="403">
        <f t="shared" si="18"/>
        <v>384.38400000000001</v>
      </c>
      <c r="M149" s="403">
        <f t="shared" si="19"/>
        <v>349824.38400000002</v>
      </c>
      <c r="N149" s="404">
        <f t="shared" si="20"/>
        <v>6996</v>
      </c>
      <c r="O149" s="404">
        <f t="shared" si="21"/>
        <v>55972</v>
      </c>
      <c r="P149" s="404">
        <f t="shared" si="22"/>
        <v>14448</v>
      </c>
      <c r="Q149" s="463">
        <f t="shared" si="25"/>
        <v>77416</v>
      </c>
      <c r="R149" s="464">
        <v>3.3610000000000002</v>
      </c>
      <c r="S149" s="463">
        <f t="shared" si="26"/>
        <v>260195.17600000001</v>
      </c>
      <c r="T149" s="397" t="s">
        <v>256</v>
      </c>
    </row>
    <row r="150" spans="1:20" ht="15" hidden="1" x14ac:dyDescent="0.25">
      <c r="A150" s="398" t="s">
        <v>1577</v>
      </c>
      <c r="B150" s="398"/>
      <c r="C150" s="400" t="str">
        <f>+IFERROR(INDEX([4]IMPORTS!$E:$E,MATCH($A150,[4]IMPORTS!$C:$C,0)),"")</f>
        <v>POLISULFATO GRANULADO</v>
      </c>
      <c r="D150" s="400" t="str">
        <f>+IFERROR(INDEX([4]IMPORTS!$F:$F,MATCH($A150,[4]IMPORTS!$C:$C,0)),"")</f>
        <v>ICL EUROPE COOPERATIEF U.A.</v>
      </c>
      <c r="E150" s="465" t="str">
        <f>+IFERROR(INDEX([4]IMPORTS!$AF:$AF,MATCH($A150,[4]IMPORTS!$C:$C,0)),"")</f>
        <v>CALLAO</v>
      </c>
      <c r="F150" s="408">
        <f>+IFERROR(INDEX([4]IMPORTS!$Y:$Y,MATCH($A150,[4]IMPORTS!$C:$C,0)),"")</f>
        <v>43987</v>
      </c>
      <c r="G150" s="408">
        <f t="shared" si="23"/>
        <v>43985</v>
      </c>
      <c r="H150" s="402">
        <f>+IFERROR(INDEX([4]IMPORTS!$P:$P,MATCH($A150,[4]IMPORTS!$C:$C,0)),"")</f>
        <v>251.68</v>
      </c>
      <c r="I150" s="408" t="str">
        <f>+IFERROR(INDEX([4]IMPORTS!$R:$R,MATCH($A150,[4]IMPORTS!$C:$C,0)),"")</f>
        <v>CFR</v>
      </c>
      <c r="J150" s="409">
        <f>+IFERROR(INDEX([4]IMPORTS!$S:$S,MATCH($A150,[4]IMPORTS!$C:$C,0)),"")</f>
        <v>215</v>
      </c>
      <c r="K150" s="403">
        <f t="shared" si="24"/>
        <v>54111.200000000004</v>
      </c>
      <c r="L150" s="403">
        <f t="shared" si="18"/>
        <v>59.522320000000008</v>
      </c>
      <c r="M150" s="403">
        <f t="shared" si="19"/>
        <v>54170.722320000001</v>
      </c>
      <c r="N150" s="404">
        <f t="shared" si="20"/>
        <v>1083</v>
      </c>
      <c r="O150" s="404">
        <f t="shared" si="21"/>
        <v>8667</v>
      </c>
      <c r="P150" s="404">
        <f t="shared" si="22"/>
        <v>2237</v>
      </c>
      <c r="Q150" s="463">
        <f t="shared" si="25"/>
        <v>11987</v>
      </c>
      <c r="R150" s="464">
        <v>3.3610000000000002</v>
      </c>
      <c r="S150" s="463">
        <f t="shared" si="26"/>
        <v>40288.307000000001</v>
      </c>
      <c r="T150" s="397" t="s">
        <v>256</v>
      </c>
    </row>
    <row r="151" spans="1:20" ht="15" hidden="1" x14ac:dyDescent="0.25">
      <c r="A151" s="398" t="s">
        <v>1580</v>
      </c>
      <c r="B151" s="398"/>
      <c r="C151" s="400" t="str">
        <f>+IFERROR(INDEX([4]IMPORTS!$E:$E,MATCH($A151,[4]IMPORTS!$C:$C,0)),"")</f>
        <v>NITRATO DE MAGNESIO HEXAHIDRATADO</v>
      </c>
      <c r="D151" s="400" t="str">
        <f>+IFERROR(INDEX([4]IMPORTS!$F:$F,MATCH($A151,[4]IMPORTS!$C:$C,0)),"")</f>
        <v>WEGROW AG</v>
      </c>
      <c r="E151" s="465" t="str">
        <f>+IFERROR(INDEX([4]IMPORTS!$AF:$AF,MATCH($A151,[4]IMPORTS!$C:$C,0)),"")</f>
        <v>PAITA</v>
      </c>
      <c r="F151" s="408">
        <f>+IFERROR(INDEX([4]IMPORTS!$Y:$Y,MATCH($A151,[4]IMPORTS!$C:$C,0)),"")</f>
        <v>44016</v>
      </c>
      <c r="G151" s="408">
        <f t="shared" si="23"/>
        <v>44014</v>
      </c>
      <c r="H151" s="402">
        <f>+IFERROR(INDEX([4]IMPORTS!$P:$P,MATCH($A151,[4]IMPORTS!$C:$C,0)),"")</f>
        <v>300</v>
      </c>
      <c r="I151" s="408" t="str">
        <f>+IFERROR(INDEX([4]IMPORTS!$R:$R,MATCH($A151,[4]IMPORTS!$C:$C,0)),"")</f>
        <v>CFR</v>
      </c>
      <c r="J151" s="409">
        <f>+IFERROR(INDEX([4]IMPORTS!$S:$S,MATCH($A151,[4]IMPORTS!$C:$C,0)),"")</f>
        <v>257</v>
      </c>
      <c r="K151" s="403">
        <f t="shared" si="24"/>
        <v>77100</v>
      </c>
      <c r="L151" s="403">
        <f t="shared" si="18"/>
        <v>84.81</v>
      </c>
      <c r="M151" s="403">
        <f t="shared" si="19"/>
        <v>77184.81</v>
      </c>
      <c r="N151" s="404">
        <f t="shared" si="20"/>
        <v>1544</v>
      </c>
      <c r="O151" s="404">
        <f t="shared" si="21"/>
        <v>12350</v>
      </c>
      <c r="P151" s="404">
        <f t="shared" si="22"/>
        <v>3188</v>
      </c>
      <c r="Q151" s="463">
        <f t="shared" si="25"/>
        <v>17082</v>
      </c>
      <c r="R151" s="464">
        <v>3.3610000000000002</v>
      </c>
      <c r="S151" s="463">
        <f t="shared" si="26"/>
        <v>57412.602000000006</v>
      </c>
      <c r="T151" s="397" t="s">
        <v>256</v>
      </c>
    </row>
    <row r="152" spans="1:20" ht="15" hidden="1" x14ac:dyDescent="0.25">
      <c r="A152" s="398" t="s">
        <v>1618</v>
      </c>
      <c r="B152" s="398"/>
      <c r="C152" s="400" t="str">
        <f>+IFERROR(INDEX([4]IMPORTS!$E:$E,MATCH($A152,[4]IMPORTS!$C:$C,0)),"")</f>
        <v>ÁCIDO FOSFÓRICO</v>
      </c>
      <c r="D152" s="400" t="str">
        <f>+IFERROR(INDEX([4]IMPORTS!$F:$F,MATCH($A152,[4]IMPORTS!$C:$C,0)),"")</f>
        <v>NITRON GROUP LLC</v>
      </c>
      <c r="E152" s="465" t="str">
        <f>+IFERROR(INDEX([4]IMPORTS!$AF:$AF,MATCH($A152,[4]IMPORTS!$C:$C,0)),"")</f>
        <v>PAITA</v>
      </c>
      <c r="F152" s="408">
        <f>+IFERROR(INDEX([4]IMPORTS!$Y:$Y,MATCH($A152,[4]IMPORTS!$C:$C,0)),"")</f>
        <v>43987</v>
      </c>
      <c r="G152" s="408">
        <f t="shared" si="23"/>
        <v>43985</v>
      </c>
      <c r="H152" s="402">
        <f>+IFERROR(INDEX([4]IMPORTS!$P:$P,MATCH($A152,[4]IMPORTS!$C:$C,0)),"")</f>
        <v>384</v>
      </c>
      <c r="I152" s="408" t="str">
        <f>+IFERROR(INDEX([4]IMPORTS!$R:$R,MATCH($A152,[4]IMPORTS!$C:$C,0)),"")</f>
        <v>CFR</v>
      </c>
      <c r="J152" s="409">
        <f>+IFERROR(INDEX([4]IMPORTS!$S:$S,MATCH($A152,[4]IMPORTS!$C:$C,0)),"")</f>
        <v>910</v>
      </c>
      <c r="K152" s="403">
        <f t="shared" si="24"/>
        <v>349440</v>
      </c>
      <c r="L152" s="403">
        <f t="shared" si="18"/>
        <v>384.38400000000001</v>
      </c>
      <c r="M152" s="403">
        <f t="shared" si="19"/>
        <v>349824.38400000002</v>
      </c>
      <c r="N152" s="404">
        <f t="shared" si="20"/>
        <v>6996</v>
      </c>
      <c r="O152" s="404">
        <f t="shared" si="21"/>
        <v>55972</v>
      </c>
      <c r="P152" s="404">
        <f t="shared" si="22"/>
        <v>14448</v>
      </c>
      <c r="Q152" s="463">
        <f t="shared" si="25"/>
        <v>77416</v>
      </c>
      <c r="R152" s="464">
        <v>3.3610000000000002</v>
      </c>
      <c r="S152" s="463">
        <f t="shared" si="26"/>
        <v>260195.17600000001</v>
      </c>
      <c r="T152" s="397" t="s">
        <v>256</v>
      </c>
    </row>
    <row r="153" spans="1:20" ht="15" hidden="1" x14ac:dyDescent="0.25">
      <c r="A153" s="398" t="s">
        <v>1619</v>
      </c>
      <c r="B153" s="398"/>
      <c r="C153" s="400" t="str">
        <f>+IFERROR(INDEX([4]IMPORTS!$E:$E,MATCH($A153,[4]IMPORTS!$C:$C,0)),"")</f>
        <v>BROWN AGRONYL CR X 20KG</v>
      </c>
      <c r="D153" s="400" t="str">
        <f>+IFERROR(INDEX([4]IMPORTS!$F:$F,MATCH($A153,[4]IMPORTS!$C:$C,0)),"")</f>
        <v>LUENGO COLOR, SLU</v>
      </c>
      <c r="E153" s="465" t="str">
        <f>+IFERROR(INDEX([4]IMPORTS!$AF:$AF,MATCH($A153,[4]IMPORTS!$C:$C,0)),"")</f>
        <v>CALLAO</v>
      </c>
      <c r="F153" s="408">
        <f>+IFERROR(INDEX([4]IMPORTS!$Y:$Y,MATCH($A153,[4]IMPORTS!$C:$C,0)),"")</f>
        <v>44001</v>
      </c>
      <c r="G153" s="408">
        <f t="shared" si="23"/>
        <v>43999</v>
      </c>
      <c r="H153" s="402">
        <f>+IFERROR(INDEX([4]IMPORTS!$P:$P,MATCH($A153,[4]IMPORTS!$C:$C,0)),"")</f>
        <v>2</v>
      </c>
      <c r="I153" s="408" t="str">
        <f>+IFERROR(INDEX([4]IMPORTS!$R:$R,MATCH($A153,[4]IMPORTS!$C:$C,0)),"")</f>
        <v>CIF</v>
      </c>
      <c r="J153" s="409">
        <f>+IFERROR(INDEX([4]IMPORTS!$S:$S,MATCH($A153,[4]IMPORTS!$C:$C,0)),"")</f>
        <v>3566.5</v>
      </c>
      <c r="K153" s="403">
        <f t="shared" si="24"/>
        <v>7133</v>
      </c>
      <c r="L153" s="403">
        <f t="shared" si="18"/>
        <v>7.8463000000000003</v>
      </c>
      <c r="M153" s="403">
        <f t="shared" si="19"/>
        <v>7140.8463000000002</v>
      </c>
      <c r="N153" s="404">
        <f t="shared" si="20"/>
        <v>143</v>
      </c>
      <c r="O153" s="404">
        <f t="shared" si="21"/>
        <v>1143</v>
      </c>
      <c r="P153" s="404">
        <f t="shared" si="22"/>
        <v>295</v>
      </c>
      <c r="Q153" s="463">
        <f t="shared" si="25"/>
        <v>1581</v>
      </c>
      <c r="R153" s="464">
        <v>3.3610000000000002</v>
      </c>
      <c r="S153" s="463">
        <f t="shared" si="26"/>
        <v>5313.741</v>
      </c>
      <c r="T153" s="397" t="s">
        <v>256</v>
      </c>
    </row>
    <row r="154" spans="1:20" ht="15" hidden="1" x14ac:dyDescent="0.25">
      <c r="A154" s="398" t="s">
        <v>1629</v>
      </c>
      <c r="B154" s="398"/>
      <c r="C154" s="400" t="str">
        <f>+IFERROR(INDEX([4]IMPORTS!$E:$E,MATCH($A154,[4]IMPORTS!$C:$C,0)),"")</f>
        <v>SUPERFOSFATO TRIPLE – TSP X BIGBAG</v>
      </c>
      <c r="D154" s="400" t="str">
        <f>+IFERROR(INDEX([4]IMPORTS!$F:$F,MATCH($A154,[4]IMPORTS!$C:$C,0)),"")</f>
        <v>KEYTRADE</v>
      </c>
      <c r="E154" s="465" t="str">
        <f>+IFERROR(INDEX([4]IMPORTS!$AF:$AF,MATCH($A154,[4]IMPORTS!$C:$C,0)),"")</f>
        <v>CALLAO</v>
      </c>
      <c r="F154" s="408">
        <f>+IFERROR(INDEX([4]IMPORTS!$Y:$Y,MATCH($A154,[4]IMPORTS!$C:$C,0)),"")</f>
        <v>44003</v>
      </c>
      <c r="G154" s="408">
        <f t="shared" si="23"/>
        <v>44001</v>
      </c>
      <c r="H154" s="402">
        <f>+IFERROR(INDEX([4]IMPORTS!$P:$P,MATCH($A154,[4]IMPORTS!$C:$C,0)),"")</f>
        <v>272.5</v>
      </c>
      <c r="I154" s="408" t="str">
        <f>+IFERROR(INDEX([4]IMPORTS!$R:$R,MATCH($A154,[4]IMPORTS!$C:$C,0)),"")</f>
        <v>CFR</v>
      </c>
      <c r="J154" s="409">
        <f>+IFERROR(INDEX([4]IMPORTS!$S:$S,MATCH($A154,[4]IMPORTS!$C:$C,0)),"")</f>
        <v>310</v>
      </c>
      <c r="K154" s="403">
        <f t="shared" si="24"/>
        <v>84475</v>
      </c>
      <c r="L154" s="403">
        <f t="shared" si="18"/>
        <v>92.922499999999999</v>
      </c>
      <c r="M154" s="403">
        <f t="shared" si="19"/>
        <v>84567.922500000001</v>
      </c>
      <c r="N154" s="404">
        <f t="shared" si="20"/>
        <v>1691</v>
      </c>
      <c r="O154" s="404">
        <f t="shared" si="21"/>
        <v>13531</v>
      </c>
      <c r="P154" s="404">
        <f t="shared" si="22"/>
        <v>3493</v>
      </c>
      <c r="Q154" s="463">
        <f t="shared" si="25"/>
        <v>18715</v>
      </c>
      <c r="R154" s="464">
        <v>3.3610000000000002</v>
      </c>
      <c r="S154" s="463">
        <f t="shared" si="26"/>
        <v>62901.115000000005</v>
      </c>
      <c r="T154" s="397" t="s">
        <v>256</v>
      </c>
    </row>
    <row r="155" spans="1:20" ht="15" hidden="1" x14ac:dyDescent="0.25">
      <c r="A155" s="398" t="s">
        <v>1643</v>
      </c>
      <c r="B155" s="398"/>
      <c r="C155" s="400" t="str">
        <f>+IFERROR(INDEX([4]IMPORTS!$E:$E,MATCH($A155,[4]IMPORTS!$C:$C,0)),"")</f>
        <v>ÁCIDO FOSFÓRICO</v>
      </c>
      <c r="D155" s="400" t="str">
        <f>+IFERROR(INDEX([4]IMPORTS!$F:$F,MATCH($A155,[4]IMPORTS!$C:$C,0)),"")</f>
        <v>MITSUI &amp; CO., Ltda</v>
      </c>
      <c r="E155" s="465" t="str">
        <f>+IFERROR(INDEX([4]IMPORTS!$AF:$AF,MATCH($A155,[4]IMPORTS!$C:$C,0)),"")</f>
        <v>CALLAO</v>
      </c>
      <c r="F155" s="408">
        <f>+IFERROR(INDEX([4]IMPORTS!$Y:$Y,MATCH($A155,[4]IMPORTS!$C:$C,0)),"")</f>
        <v>43996</v>
      </c>
      <c r="G155" s="408">
        <f t="shared" si="23"/>
        <v>43994</v>
      </c>
      <c r="H155" s="402">
        <f>+IFERROR(INDEX([4]IMPORTS!$P:$P,MATCH($A155,[4]IMPORTS!$C:$C,0)),"")</f>
        <v>691.6</v>
      </c>
      <c r="I155" s="408" t="str">
        <f>+IFERROR(INDEX([4]IMPORTS!$R:$R,MATCH($A155,[4]IMPORTS!$C:$C,0)),"")</f>
        <v>CFR</v>
      </c>
      <c r="J155" s="409">
        <f>+IFERROR(INDEX([4]IMPORTS!$S:$S,MATCH($A155,[4]IMPORTS!$C:$C,0)),"")</f>
        <v>860</v>
      </c>
      <c r="K155" s="403">
        <f t="shared" si="24"/>
        <v>594776</v>
      </c>
      <c r="L155" s="403">
        <f t="shared" si="18"/>
        <v>654.25360000000001</v>
      </c>
      <c r="M155" s="403">
        <f t="shared" si="19"/>
        <v>595430.25360000005</v>
      </c>
      <c r="N155" s="404">
        <f t="shared" si="20"/>
        <v>11909</v>
      </c>
      <c r="O155" s="404">
        <f t="shared" si="21"/>
        <v>95269</v>
      </c>
      <c r="P155" s="404">
        <f t="shared" si="22"/>
        <v>24591</v>
      </c>
      <c r="Q155" s="463">
        <f t="shared" si="25"/>
        <v>131769</v>
      </c>
      <c r="R155" s="464">
        <v>3.3610000000000002</v>
      </c>
      <c r="S155" s="463">
        <f t="shared" si="26"/>
        <v>442875.60900000005</v>
      </c>
      <c r="T155" s="397" t="s">
        <v>256</v>
      </c>
    </row>
    <row r="156" spans="1:20" ht="15" hidden="1" x14ac:dyDescent="0.25">
      <c r="A156" s="398" t="s">
        <v>1646</v>
      </c>
      <c r="B156" s="398"/>
      <c r="C156" s="400" t="str">
        <f>+IFERROR(INDEX([4]IMPORTS!$E:$E,MATCH($A156,[4]IMPORTS!$C:$C,0)),"")</f>
        <v>SULFATO DE ZINC HEPTAHIDRATADO</v>
      </c>
      <c r="D156" s="400" t="str">
        <f>+IFERROR(INDEX([4]IMPORTS!$F:$F,MATCH($A156,[4]IMPORTS!$C:$C,0)),"")</f>
        <v>STAR GRACE MINING CO.,LTD</v>
      </c>
      <c r="E156" s="465" t="str">
        <f>+IFERROR(INDEX([4]IMPORTS!$AF:$AF,MATCH($A156,[4]IMPORTS!$C:$C,0)),"")</f>
        <v>PAITA</v>
      </c>
      <c r="F156" s="408">
        <f>+IFERROR(INDEX([4]IMPORTS!$Y:$Y,MATCH($A156,[4]IMPORTS!$C:$C,0)),"")</f>
        <v>44016</v>
      </c>
      <c r="G156" s="408">
        <f t="shared" si="23"/>
        <v>44014</v>
      </c>
      <c r="H156" s="402">
        <f>+IFERROR(INDEX([4]IMPORTS!$P:$P,MATCH($A156,[4]IMPORTS!$C:$C,0)),"")</f>
        <v>200.4</v>
      </c>
      <c r="I156" s="408" t="str">
        <f>+IFERROR(INDEX([4]IMPORTS!$R:$R,MATCH($A156,[4]IMPORTS!$C:$C,0)),"")</f>
        <v>CFR</v>
      </c>
      <c r="J156" s="409">
        <f>+IFERROR(INDEX([4]IMPORTS!$S:$S,MATCH($A156,[4]IMPORTS!$C:$C,0)),"")</f>
        <v>458</v>
      </c>
      <c r="K156" s="403">
        <f t="shared" si="24"/>
        <v>91783.2</v>
      </c>
      <c r="L156" s="403">
        <f t="shared" si="18"/>
        <v>100.96152000000001</v>
      </c>
      <c r="M156" s="403">
        <f t="shared" si="19"/>
        <v>91884.161519999994</v>
      </c>
      <c r="N156" s="404">
        <f t="shared" si="20"/>
        <v>1838</v>
      </c>
      <c r="O156" s="404">
        <f t="shared" si="21"/>
        <v>14701</v>
      </c>
      <c r="P156" s="404">
        <f t="shared" si="22"/>
        <v>3795</v>
      </c>
      <c r="Q156" s="463">
        <f t="shared" si="25"/>
        <v>20334</v>
      </c>
      <c r="R156" s="464">
        <v>3.3610000000000002</v>
      </c>
      <c r="S156" s="463">
        <f t="shared" si="26"/>
        <v>68342.574000000008</v>
      </c>
      <c r="T156" s="397" t="s">
        <v>256</v>
      </c>
    </row>
    <row r="157" spans="1:20" ht="15" hidden="1" x14ac:dyDescent="0.25">
      <c r="A157" s="398" t="s">
        <v>1668</v>
      </c>
      <c r="B157" s="398"/>
      <c r="C157" s="400" t="str">
        <f>+IFERROR(INDEX([4]IMPORTS!$E:$E,MATCH($A157,[4]IMPORTS!$C:$C,0)),"")</f>
        <v>YARATERA CALCINIT X 25KG</v>
      </c>
      <c r="D157" s="400" t="str">
        <f>+IFERROR(INDEX([4]IMPORTS!$F:$F,MATCH($A157,[4]IMPORTS!$C:$C,0)),"")</f>
        <v>YARA PERÚ SRL</v>
      </c>
      <c r="E157" s="465" t="str">
        <f>+IFERROR(INDEX([4]IMPORTS!$AF:$AF,MATCH($A157,[4]IMPORTS!$C:$C,0)),"")</f>
        <v>MATARANI</v>
      </c>
      <c r="F157" s="408">
        <f>+IFERROR(INDEX([4]IMPORTS!$Y:$Y,MATCH($A157,[4]IMPORTS!$C:$C,0)),"")</f>
        <v>43990</v>
      </c>
      <c r="G157" s="408">
        <f t="shared" si="23"/>
        <v>43988</v>
      </c>
      <c r="H157" s="402">
        <f>+IFERROR(INDEX([4]IMPORTS!$P:$P,MATCH($A157,[4]IMPORTS!$C:$C,0)),"")</f>
        <v>75</v>
      </c>
      <c r="I157" s="408" t="str">
        <f>+IFERROR(INDEX([4]IMPORTS!$R:$R,MATCH($A157,[4]IMPORTS!$C:$C,0)),"")</f>
        <v>CFR</v>
      </c>
      <c r="J157" s="409">
        <f>+IFERROR(INDEX([4]IMPORTS!$S:$S,MATCH($A157,[4]IMPORTS!$C:$C,0)),"")</f>
        <v>242.44</v>
      </c>
      <c r="K157" s="403">
        <f t="shared" si="24"/>
        <v>18183</v>
      </c>
      <c r="L157" s="403">
        <f t="shared" si="18"/>
        <v>20.001300000000001</v>
      </c>
      <c r="M157" s="403">
        <f t="shared" si="19"/>
        <v>18203.0013</v>
      </c>
      <c r="N157" s="404">
        <f t="shared" si="20"/>
        <v>364</v>
      </c>
      <c r="O157" s="404">
        <f t="shared" si="21"/>
        <v>2912</v>
      </c>
      <c r="P157" s="404">
        <f t="shared" si="22"/>
        <v>752</v>
      </c>
      <c r="Q157" s="463">
        <f t="shared" si="25"/>
        <v>4028</v>
      </c>
      <c r="R157" s="464">
        <v>3.3610000000000002</v>
      </c>
      <c r="S157" s="463">
        <f t="shared" si="26"/>
        <v>13538.108</v>
      </c>
      <c r="T157" s="397" t="s">
        <v>256</v>
      </c>
    </row>
    <row r="158" spans="1:20" ht="15" hidden="1" x14ac:dyDescent="0.25">
      <c r="A158" s="398" t="s">
        <v>1673</v>
      </c>
      <c r="B158" s="398"/>
      <c r="C158" s="400" t="str">
        <f>+IFERROR(INDEX([4]IMPORTS!$E:$E,MATCH($A158,[4]IMPORTS!$C:$C,0)),"")</f>
        <v>ZINCODUR 25/17 BIGBAGS X1000KG</v>
      </c>
      <c r="D158" s="400" t="str">
        <f>+IFERROR(INDEX([4]IMPORTS!$F:$F,MATCH($A158,[4]IMPORTS!$C:$C,0)),"")</f>
        <v>COMPASS MINERALS</v>
      </c>
      <c r="E158" s="465" t="str">
        <f>+IFERROR(INDEX([4]IMPORTS!$AF:$AF,MATCH($A158,[4]IMPORTS!$C:$C,0)),"")</f>
        <v>CALLAO</v>
      </c>
      <c r="F158" s="408">
        <f>+IFERROR(INDEX([4]IMPORTS!$Y:$Y,MATCH($A158,[4]IMPORTS!$C:$C,0)),"")</f>
        <v>43987</v>
      </c>
      <c r="G158" s="408">
        <f t="shared" si="23"/>
        <v>43985</v>
      </c>
      <c r="H158" s="402">
        <f>+IFERROR(INDEX([4]IMPORTS!$P:$P,MATCH($A158,[4]IMPORTS!$C:$C,0)),"")</f>
        <v>25</v>
      </c>
      <c r="I158" s="408" t="str">
        <f>+IFERROR(INDEX([4]IMPORTS!$R:$R,MATCH($A158,[4]IMPORTS!$C:$C,0)),"")</f>
        <v>CFR</v>
      </c>
      <c r="J158" s="409">
        <f>+IFERROR(INDEX([4]IMPORTS!$S:$S,MATCH($A158,[4]IMPORTS!$C:$C,0)),"")</f>
        <v>860</v>
      </c>
      <c r="K158" s="403">
        <f t="shared" si="24"/>
        <v>21500</v>
      </c>
      <c r="L158" s="403">
        <f t="shared" si="18"/>
        <v>23.650000000000002</v>
      </c>
      <c r="M158" s="403">
        <f t="shared" si="19"/>
        <v>21523.65</v>
      </c>
      <c r="N158" s="404">
        <f t="shared" si="20"/>
        <v>430</v>
      </c>
      <c r="O158" s="404">
        <f t="shared" si="21"/>
        <v>3444</v>
      </c>
      <c r="P158" s="404">
        <f t="shared" si="22"/>
        <v>889</v>
      </c>
      <c r="Q158" s="463">
        <f t="shared" si="25"/>
        <v>4763</v>
      </c>
      <c r="R158" s="464">
        <v>3.3610000000000002</v>
      </c>
      <c r="S158" s="463">
        <f t="shared" si="26"/>
        <v>16008.443000000001</v>
      </c>
      <c r="T158" s="397" t="s">
        <v>256</v>
      </c>
    </row>
    <row r="159" spans="1:20" ht="15" hidden="1" x14ac:dyDescent="0.25">
      <c r="A159" s="398" t="s">
        <v>1682</v>
      </c>
      <c r="B159" s="398"/>
      <c r="C159" s="400" t="str">
        <f>+IFERROR(INDEX([4]IMPORTS!$E:$E,MATCH($A159,[4]IMPORTS!$C:$C,0)),"")</f>
        <v>YARATERA CALCINIT X 25KG</v>
      </c>
      <c r="D159" s="400" t="str">
        <f>+IFERROR(INDEX([4]IMPORTS!$F:$F,MATCH($A159,[4]IMPORTS!$C:$C,0)),"")</f>
        <v>YARA PERÚ SRL</v>
      </c>
      <c r="E159" s="465" t="str">
        <f>+IFERROR(INDEX([4]IMPORTS!$AF:$AF,MATCH($A159,[4]IMPORTS!$C:$C,0)),"")</f>
        <v>CALLAO</v>
      </c>
      <c r="F159" s="408">
        <f>+IFERROR(INDEX([4]IMPORTS!$Y:$Y,MATCH($A159,[4]IMPORTS!$C:$C,0)),"")</f>
        <v>43986</v>
      </c>
      <c r="G159" s="408">
        <f t="shared" si="23"/>
        <v>43984</v>
      </c>
      <c r="H159" s="402">
        <f>+IFERROR(INDEX([4]IMPORTS!$P:$P,MATCH($A159,[4]IMPORTS!$C:$C,0)),"")</f>
        <v>250</v>
      </c>
      <c r="I159" s="408" t="str">
        <f>+IFERROR(INDEX([4]IMPORTS!$R:$R,MATCH($A159,[4]IMPORTS!$C:$C,0)),"")</f>
        <v>CFR</v>
      </c>
      <c r="J159" s="409">
        <f>+IFERROR(INDEX([4]IMPORTS!$S:$S,MATCH($A159,[4]IMPORTS!$C:$C,0)),"")</f>
        <v>242.44</v>
      </c>
      <c r="K159" s="403">
        <f t="shared" si="24"/>
        <v>60610</v>
      </c>
      <c r="L159" s="403">
        <f t="shared" si="18"/>
        <v>66.671000000000006</v>
      </c>
      <c r="M159" s="403">
        <f t="shared" si="19"/>
        <v>60676.671000000002</v>
      </c>
      <c r="N159" s="404">
        <f t="shared" si="20"/>
        <v>1214</v>
      </c>
      <c r="O159" s="404">
        <f t="shared" si="21"/>
        <v>9708</v>
      </c>
      <c r="P159" s="404">
        <f t="shared" si="22"/>
        <v>2506</v>
      </c>
      <c r="Q159" s="463">
        <f t="shared" si="25"/>
        <v>13428</v>
      </c>
      <c r="R159" s="464">
        <v>3.3610000000000002</v>
      </c>
      <c r="S159" s="463">
        <f t="shared" si="26"/>
        <v>45131.508000000002</v>
      </c>
      <c r="T159" s="397" t="s">
        <v>256</v>
      </c>
    </row>
    <row r="160" spans="1:20" ht="15" hidden="1" x14ac:dyDescent="0.25">
      <c r="A160" s="398" t="s">
        <v>1693</v>
      </c>
      <c r="B160" s="398"/>
      <c r="C160" s="400" t="str">
        <f>+IFERROR(INDEX([4]IMPORTS!$E:$E,MATCH($A160,[4]IMPORTS!$C:$C,0)),"")</f>
        <v>SULFATO DE ZINC HEPTAHIDRATADO</v>
      </c>
      <c r="D160" s="400" t="str">
        <f>+IFERROR(INDEX([4]IMPORTS!$F:$F,MATCH($A160,[4]IMPORTS!$C:$C,0)),"")</f>
        <v>STAR GRACE MINING CO.,LTD</v>
      </c>
      <c r="E160" s="465" t="str">
        <f>+IFERROR(INDEX([4]IMPORTS!$AF:$AF,MATCH($A160,[4]IMPORTS!$C:$C,0)),"")</f>
        <v>PAITA</v>
      </c>
      <c r="F160" s="408">
        <f>+IFERROR(INDEX([4]IMPORTS!$Y:$Y,MATCH($A160,[4]IMPORTS!$C:$C,0)),"")</f>
        <v>44016</v>
      </c>
      <c r="G160" s="408">
        <f t="shared" si="23"/>
        <v>44014</v>
      </c>
      <c r="H160" s="402">
        <f>+IFERROR(INDEX([4]IMPORTS!$P:$P,MATCH($A160,[4]IMPORTS!$C:$C,0)),"")</f>
        <v>250.8</v>
      </c>
      <c r="I160" s="408" t="str">
        <f>+IFERROR(INDEX([4]IMPORTS!$R:$R,MATCH($A160,[4]IMPORTS!$C:$C,0)),"")</f>
        <v>CFR</v>
      </c>
      <c r="J160" s="409">
        <f>+IFERROR(INDEX([4]IMPORTS!$S:$S,MATCH($A160,[4]IMPORTS!$C:$C,0)),"")</f>
        <v>449</v>
      </c>
      <c r="K160" s="403">
        <f t="shared" si="24"/>
        <v>112609.20000000001</v>
      </c>
      <c r="L160" s="403">
        <f>+K160*0.11%</f>
        <v>123.87012000000001</v>
      </c>
      <c r="M160" s="403">
        <f>+K160+L160</f>
        <v>112733.07012000002</v>
      </c>
      <c r="N160" s="404">
        <f>ROUND(M160*2%,0)</f>
        <v>2255</v>
      </c>
      <c r="O160" s="404">
        <f>ROUND(M160*16%,0)</f>
        <v>18037</v>
      </c>
      <c r="P160" s="404">
        <f>ROUND((M160+N160+O160)*3.5%,0)</f>
        <v>4656</v>
      </c>
      <c r="Q160" s="463">
        <f t="shared" si="25"/>
        <v>24948</v>
      </c>
      <c r="R160" s="464">
        <v>3.3610000000000002</v>
      </c>
      <c r="S160" s="463">
        <f t="shared" si="26"/>
        <v>83850.228000000003</v>
      </c>
      <c r="T160" s="397" t="s">
        <v>256</v>
      </c>
    </row>
    <row r="161" spans="1:20" ht="15" hidden="1" x14ac:dyDescent="0.25">
      <c r="A161" s="398" t="s">
        <v>1661</v>
      </c>
      <c r="B161" s="398"/>
      <c r="C161" s="400" t="str">
        <f>+IFERROR(INDEX([4]IMPORTS!$E:$E,MATCH($A161,[4]IMPORTS!$C:$C,0)),"")</f>
        <v>MICROELEMENTO SFERA 4 - 50KG</v>
      </c>
      <c r="D161" s="400" t="str">
        <f>+IFERROR(INDEX([4]IMPORTS!$F:$F,MATCH($A161,[4]IMPORTS!$C:$C,0)),"")</f>
        <v>MANTTRA AMERICAS</v>
      </c>
      <c r="E161" s="465" t="str">
        <f>+IFERROR(INDEX([4]IMPORTS!$AF:$AF,MATCH($A161,[4]IMPORTS!$C:$C,0)),"")</f>
        <v>CALLAO</v>
      </c>
      <c r="F161" s="408">
        <f>+IFERROR(INDEX([4]IMPORTS!$Y:$Y,MATCH($A161,[4]IMPORTS!$C:$C,0)),"")</f>
        <v>44006</v>
      </c>
      <c r="G161" s="408">
        <f t="shared" si="23"/>
        <v>44004</v>
      </c>
      <c r="H161" s="402">
        <f>+IFERROR(INDEX([4]IMPORTS!$P:$P,MATCH($A161,[4]IMPORTS!$C:$C,0)),"")</f>
        <v>52.51</v>
      </c>
      <c r="I161" s="408" t="str">
        <f>+IFERROR(INDEX([4]IMPORTS!$R:$R,MATCH($A161,[4]IMPORTS!$C:$C,0)),"")</f>
        <v>CFR</v>
      </c>
      <c r="J161" s="409">
        <f>+IFERROR(INDEX([4]IMPORTS!$S:$S,MATCH($A161,[4]IMPORTS!$C:$C,0)),"")</f>
        <v>280</v>
      </c>
      <c r="K161" s="403">
        <f t="shared" si="24"/>
        <v>14702.8</v>
      </c>
      <c r="L161" s="403">
        <f>+K161*0.11%</f>
        <v>16.173079999999999</v>
      </c>
      <c r="M161" s="403">
        <f>+K161+L161</f>
        <v>14718.97308</v>
      </c>
      <c r="N161" s="404">
        <f>ROUND(M161*2%,0)</f>
        <v>294</v>
      </c>
      <c r="O161" s="404">
        <f>ROUND(M161*16%,0)</f>
        <v>2355</v>
      </c>
      <c r="P161" s="404">
        <f>ROUND((M161+N161+O161)*3.5%,0)</f>
        <v>608</v>
      </c>
      <c r="Q161" s="463">
        <f t="shared" si="25"/>
        <v>3257</v>
      </c>
      <c r="R161" s="464">
        <v>3.3610000000000002</v>
      </c>
      <c r="S161" s="463">
        <f t="shared" si="26"/>
        <v>10946.777</v>
      </c>
      <c r="T161" s="397" t="s">
        <v>256</v>
      </c>
    </row>
    <row r="162" spans="1:20" ht="15" hidden="1" x14ac:dyDescent="0.25">
      <c r="A162" s="398" t="s">
        <v>1749</v>
      </c>
      <c r="B162" s="398"/>
      <c r="C162" s="400" t="str">
        <f>+IFERROR(INDEX([4]IMPORTS!$E:$E,MATCH($A162,[4]IMPORTS!$C:$C,0)),"")</f>
        <v>YARATERA CALCINIT X 25KG</v>
      </c>
      <c r="D162" s="400" t="str">
        <f>+IFERROR(INDEX([4]IMPORTS!$F:$F,MATCH($A162,[4]IMPORTS!$C:$C,0)),"")</f>
        <v>YARA PERÚ SRL</v>
      </c>
      <c r="E162" s="465" t="str">
        <f>+IFERROR(INDEX([4]IMPORTS!$AF:$AF,MATCH($A162,[4]IMPORTS!$C:$C,0)),"")</f>
        <v>PAITA</v>
      </c>
      <c r="F162" s="408">
        <f>+IFERROR(INDEX([4]IMPORTS!$Y:$Y,MATCH($A162,[4]IMPORTS!$C:$C,0)),"")</f>
        <v>44006</v>
      </c>
      <c r="G162" s="408">
        <f t="shared" si="23"/>
        <v>44004</v>
      </c>
      <c r="H162" s="402">
        <f>+IFERROR(INDEX([4]IMPORTS!$P:$P,MATCH($A162,[4]IMPORTS!$C:$C,0)),"")</f>
        <v>450</v>
      </c>
      <c r="I162" s="408" t="str">
        <f>+IFERROR(INDEX([4]IMPORTS!$R:$R,MATCH($A162,[4]IMPORTS!$C:$C,0)),"")</f>
        <v>CFR</v>
      </c>
      <c r="J162" s="409">
        <f>+IFERROR(INDEX([4]IMPORTS!$S:$S,MATCH($A162,[4]IMPORTS!$C:$C,0)),"")</f>
        <v>220.34</v>
      </c>
      <c r="K162" s="403">
        <f t="shared" si="24"/>
        <v>99153</v>
      </c>
      <c r="L162" s="403">
        <f>+K162*0.11%</f>
        <v>109.06830000000001</v>
      </c>
      <c r="M162" s="403">
        <f>+K162+L162</f>
        <v>99262.068299999999</v>
      </c>
      <c r="N162" s="404">
        <f>ROUND(M162*2%,0)</f>
        <v>1985</v>
      </c>
      <c r="O162" s="404">
        <f>ROUND(M162*16%,0)</f>
        <v>15882</v>
      </c>
      <c r="P162" s="404">
        <f>ROUND((M162+N162+O162)*3.5%,0)</f>
        <v>4100</v>
      </c>
      <c r="Q162" s="463">
        <f t="shared" si="25"/>
        <v>21967</v>
      </c>
      <c r="R162" s="464">
        <v>3.3610000000000002</v>
      </c>
      <c r="S162" s="463">
        <f t="shared" si="26"/>
        <v>73831.087</v>
      </c>
      <c r="T162" s="397" t="s">
        <v>256</v>
      </c>
    </row>
    <row r="163" spans="1:20" ht="15" hidden="1" x14ac:dyDescent="0.25">
      <c r="A163" s="398" t="s">
        <v>1578</v>
      </c>
      <c r="B163" s="398"/>
      <c r="C163" s="400" t="str">
        <f>+IFERROR(INDEX([4]IMPORTS!$E:$E,MATCH($A163,[4]IMPORTS!$C:$C,0)),"")</f>
        <v>POLISULFATO GRANULADO</v>
      </c>
      <c r="D163" s="400" t="str">
        <f>+IFERROR(INDEX([4]IMPORTS!$F:$F,MATCH($A163,[4]IMPORTS!$C:$C,0)),"")</f>
        <v>ICL EUROPE COOPERATIEF U.A.</v>
      </c>
      <c r="E163" s="465" t="str">
        <f>+IFERROR(INDEX([4]IMPORTS!$AF:$AF,MATCH($A163,[4]IMPORTS!$C:$C,0)),"")</f>
        <v>PAITA</v>
      </c>
      <c r="F163" s="408">
        <f>+IFERROR(INDEX([4]IMPORTS!$Y:$Y,MATCH($A163,[4]IMPORTS!$C:$C,0)),"")</f>
        <v>44015</v>
      </c>
      <c r="G163" s="408">
        <f t="shared" si="23"/>
        <v>44013</v>
      </c>
      <c r="H163" s="402">
        <f>+IFERROR(INDEX([4]IMPORTS!$P:$P,MATCH($A163,[4]IMPORTS!$C:$C,0)),"")</f>
        <v>251.72</v>
      </c>
      <c r="I163" s="408" t="str">
        <f>+IFERROR(INDEX([4]IMPORTS!$R:$R,MATCH($A163,[4]IMPORTS!$C:$C,0)),"")</f>
        <v>CFR</v>
      </c>
      <c r="J163" s="409">
        <f>+IFERROR(INDEX([4]IMPORTS!$S:$S,MATCH($A163,[4]IMPORTS!$C:$C,0)),"")</f>
        <v>215</v>
      </c>
      <c r="K163" s="403">
        <f t="shared" si="24"/>
        <v>54119.8</v>
      </c>
      <c r="L163" s="403">
        <f t="shared" ref="L163:L183" si="27">+K163*0.11%</f>
        <v>59.531780000000005</v>
      </c>
      <c r="M163" s="403">
        <f t="shared" ref="M163:M183" si="28">+K163+L163</f>
        <v>54179.33178</v>
      </c>
      <c r="N163" s="404">
        <f t="shared" ref="N163:N183" si="29">ROUND(M163*2%,0)</f>
        <v>1084</v>
      </c>
      <c r="O163" s="404">
        <f t="shared" ref="O163:O183" si="30">ROUND(M163*16%,0)</f>
        <v>8669</v>
      </c>
      <c r="P163" s="404">
        <f t="shared" ref="P163:P183" si="31">ROUND((M163+N163+O163)*3.5%,0)</f>
        <v>2238</v>
      </c>
      <c r="Q163" s="463">
        <f t="shared" si="25"/>
        <v>11991</v>
      </c>
      <c r="R163" s="464">
        <v>3.3610000000000002</v>
      </c>
      <c r="S163" s="463">
        <f t="shared" si="26"/>
        <v>40301.751000000004</v>
      </c>
      <c r="T163" s="397" t="s">
        <v>256</v>
      </c>
    </row>
    <row r="164" spans="1:20" ht="15" hidden="1" x14ac:dyDescent="0.25">
      <c r="A164" s="398" t="s">
        <v>1579</v>
      </c>
      <c r="B164" s="398"/>
      <c r="C164" s="400" t="str">
        <f>+IFERROR(INDEX([4]IMPORTS!$E:$E,MATCH($A164,[4]IMPORTS!$C:$C,0)),"")</f>
        <v>POLISULFATO GRANULADO</v>
      </c>
      <c r="D164" s="400" t="str">
        <f>+IFERROR(INDEX([4]IMPORTS!$F:$F,MATCH($A164,[4]IMPORTS!$C:$C,0)),"")</f>
        <v>ICL EUROPE COOPERATIEF U.A.</v>
      </c>
      <c r="E164" s="465" t="str">
        <f>+IFERROR(INDEX([4]IMPORTS!$AF:$AF,MATCH($A164,[4]IMPORTS!$C:$C,0)),"")</f>
        <v>CALLAO</v>
      </c>
      <c r="F164" s="408">
        <f>+IFERROR(INDEX([4]IMPORTS!$Y:$Y,MATCH($A164,[4]IMPORTS!$C:$C,0)),"")</f>
        <v>44015</v>
      </c>
      <c r="G164" s="408">
        <f t="shared" si="23"/>
        <v>44013</v>
      </c>
      <c r="H164" s="402">
        <f>+IFERROR(INDEX([4]IMPORTS!$P:$P,MATCH($A164,[4]IMPORTS!$C:$C,0)),"")</f>
        <v>251.76</v>
      </c>
      <c r="I164" s="408" t="str">
        <f>+IFERROR(INDEX([4]IMPORTS!$R:$R,MATCH($A164,[4]IMPORTS!$C:$C,0)),"")</f>
        <v>CFR</v>
      </c>
      <c r="J164" s="409">
        <f>+IFERROR(INDEX([4]IMPORTS!$S:$S,MATCH($A164,[4]IMPORTS!$C:$C,0)),"")</f>
        <v>215</v>
      </c>
      <c r="K164" s="403">
        <f t="shared" si="24"/>
        <v>54128.4</v>
      </c>
      <c r="L164" s="403">
        <f t="shared" si="27"/>
        <v>59.541240000000002</v>
      </c>
      <c r="M164" s="403">
        <f t="shared" si="28"/>
        <v>54187.94124</v>
      </c>
      <c r="N164" s="404">
        <f t="shared" si="29"/>
        <v>1084</v>
      </c>
      <c r="O164" s="404">
        <f t="shared" si="30"/>
        <v>8670</v>
      </c>
      <c r="P164" s="404">
        <f t="shared" si="31"/>
        <v>2238</v>
      </c>
      <c r="Q164" s="463">
        <f t="shared" si="25"/>
        <v>11992</v>
      </c>
      <c r="R164" s="464">
        <v>3.3610000000000002</v>
      </c>
      <c r="S164" s="463">
        <f t="shared" si="26"/>
        <v>40305.112000000001</v>
      </c>
      <c r="T164" s="397" t="s">
        <v>256</v>
      </c>
    </row>
    <row r="165" spans="1:20" ht="15" hidden="1" x14ac:dyDescent="0.25">
      <c r="A165" s="398" t="s">
        <v>1581</v>
      </c>
      <c r="B165" s="398"/>
      <c r="C165" s="400" t="str">
        <f>+IFERROR(INDEX([4]IMPORTS!$E:$E,MATCH($A165,[4]IMPORTS!$C:$C,0)),"")</f>
        <v>NITRATO DE MAGNESIO HEXAHIDRATADO</v>
      </c>
      <c r="D165" s="400" t="str">
        <f>+IFERROR(INDEX([4]IMPORTS!$F:$F,MATCH($A165,[4]IMPORTS!$C:$C,0)),"")</f>
        <v>WEGROW AG</v>
      </c>
      <c r="E165" s="465" t="str">
        <f>+IFERROR(INDEX([4]IMPORTS!$AF:$AF,MATCH($A165,[4]IMPORTS!$C:$C,0)),"")</f>
        <v>CALLAO</v>
      </c>
      <c r="F165" s="408">
        <f>+IFERROR(INDEX([4]IMPORTS!$Y:$Y,MATCH($A165,[4]IMPORTS!$C:$C,0)),"")</f>
        <v>44026</v>
      </c>
      <c r="G165" s="408">
        <f t="shared" si="23"/>
        <v>44024</v>
      </c>
      <c r="H165" s="402">
        <f>+IFERROR(INDEX([4]IMPORTS!$P:$P,MATCH($A165,[4]IMPORTS!$C:$C,0)),"")</f>
        <v>110</v>
      </c>
      <c r="I165" s="408" t="str">
        <f>+IFERROR(INDEX([4]IMPORTS!$R:$R,MATCH($A165,[4]IMPORTS!$C:$C,0)),"")</f>
        <v>CFR</v>
      </c>
      <c r="J165" s="409">
        <f>+IFERROR(INDEX([4]IMPORTS!$S:$S,MATCH($A165,[4]IMPORTS!$C:$C,0)),"")</f>
        <v>253</v>
      </c>
      <c r="K165" s="403">
        <f t="shared" si="24"/>
        <v>27830</v>
      </c>
      <c r="L165" s="403">
        <f t="shared" si="27"/>
        <v>30.613000000000003</v>
      </c>
      <c r="M165" s="403">
        <f t="shared" si="28"/>
        <v>27860.613000000001</v>
      </c>
      <c r="N165" s="404">
        <f t="shared" si="29"/>
        <v>557</v>
      </c>
      <c r="O165" s="404">
        <f t="shared" si="30"/>
        <v>4458</v>
      </c>
      <c r="P165" s="404">
        <f t="shared" si="31"/>
        <v>1151</v>
      </c>
      <c r="Q165" s="463">
        <f t="shared" si="25"/>
        <v>6166</v>
      </c>
      <c r="R165" s="464">
        <v>3.3610000000000002</v>
      </c>
      <c r="S165" s="463">
        <f t="shared" si="26"/>
        <v>20723.925999999999</v>
      </c>
      <c r="T165" s="397" t="s">
        <v>256</v>
      </c>
    </row>
    <row r="166" spans="1:20" ht="15" hidden="1" x14ac:dyDescent="0.25">
      <c r="A166" s="398" t="s">
        <v>1582</v>
      </c>
      <c r="B166" s="398"/>
      <c r="C166" s="400" t="str">
        <f>+IFERROR(INDEX([4]IMPORTS!$E:$E,MATCH($A166,[4]IMPORTS!$C:$C,0)),"")</f>
        <v>NITRATO DE MAGNESIO HEXAHIDRATADO</v>
      </c>
      <c r="D166" s="400" t="str">
        <f>+IFERROR(INDEX([4]IMPORTS!$F:$F,MATCH($A166,[4]IMPORTS!$C:$C,0)),"")</f>
        <v>WEGROW AG</v>
      </c>
      <c r="E166" s="465" t="str">
        <f>+IFERROR(INDEX([4]IMPORTS!$AF:$AF,MATCH($A166,[4]IMPORTS!$C:$C,0)),"")</f>
        <v>PISCO</v>
      </c>
      <c r="F166" s="408">
        <f>+IFERROR(INDEX([4]IMPORTS!$Y:$Y,MATCH($A166,[4]IMPORTS!$C:$C,0)),"")</f>
        <v>44032</v>
      </c>
      <c r="G166" s="408">
        <f t="shared" si="23"/>
        <v>44030</v>
      </c>
      <c r="H166" s="402">
        <f>+IFERROR(INDEX([4]IMPORTS!$P:$P,MATCH($A166,[4]IMPORTS!$C:$C,0)),"")</f>
        <v>220</v>
      </c>
      <c r="I166" s="408" t="str">
        <f>+IFERROR(INDEX([4]IMPORTS!$R:$R,MATCH($A166,[4]IMPORTS!$C:$C,0)),"")</f>
        <v>CFR</v>
      </c>
      <c r="J166" s="409">
        <f>+IFERROR(INDEX([4]IMPORTS!$S:$S,MATCH($A166,[4]IMPORTS!$C:$C,0)),"")</f>
        <v>261</v>
      </c>
      <c r="K166" s="403">
        <f t="shared" si="24"/>
        <v>57420</v>
      </c>
      <c r="L166" s="403">
        <f t="shared" si="27"/>
        <v>63.162000000000006</v>
      </c>
      <c r="M166" s="403">
        <f t="shared" si="28"/>
        <v>57483.161999999997</v>
      </c>
      <c r="N166" s="404">
        <f t="shared" si="29"/>
        <v>1150</v>
      </c>
      <c r="O166" s="404">
        <f t="shared" si="30"/>
        <v>9197</v>
      </c>
      <c r="P166" s="404">
        <f t="shared" si="31"/>
        <v>2374</v>
      </c>
      <c r="Q166" s="463">
        <f t="shared" si="25"/>
        <v>12721</v>
      </c>
      <c r="R166" s="464">
        <v>3.3610000000000002</v>
      </c>
      <c r="S166" s="463">
        <f t="shared" si="26"/>
        <v>42755.281000000003</v>
      </c>
      <c r="T166" s="397" t="s">
        <v>256</v>
      </c>
    </row>
    <row r="167" spans="1:20" ht="15" hidden="1" x14ac:dyDescent="0.25">
      <c r="A167" s="398" t="s">
        <v>1583</v>
      </c>
      <c r="B167" s="398"/>
      <c r="C167" s="400" t="str">
        <f>+IFERROR(INDEX([4]IMPORTS!$E:$E,MATCH($A167,[4]IMPORTS!$C:$C,0)),"")</f>
        <v>NITRATO DE MAGNESIO HEXAHIDRATADO</v>
      </c>
      <c r="D167" s="400" t="str">
        <f>+IFERROR(INDEX([4]IMPORTS!$F:$F,MATCH($A167,[4]IMPORTS!$C:$C,0)),"")</f>
        <v>WEGROW AG</v>
      </c>
      <c r="E167" s="465" t="str">
        <f>+IFERROR(INDEX([4]IMPORTS!$AF:$AF,MATCH($A167,[4]IMPORTS!$C:$C,0)),"")</f>
        <v>MATARANI</v>
      </c>
      <c r="F167" s="408">
        <f>+IFERROR(INDEX([4]IMPORTS!$Y:$Y,MATCH($A167,[4]IMPORTS!$C:$C,0)),"")</f>
        <v>44040</v>
      </c>
      <c r="G167" s="408">
        <f t="shared" si="23"/>
        <v>44038</v>
      </c>
      <c r="H167" s="402">
        <f>+IFERROR(INDEX([4]IMPORTS!$P:$P,MATCH($A167,[4]IMPORTS!$C:$C,0)),"")</f>
        <v>110</v>
      </c>
      <c r="I167" s="408" t="str">
        <f>+IFERROR(INDEX([4]IMPORTS!$R:$R,MATCH($A167,[4]IMPORTS!$C:$C,0)),"")</f>
        <v>CFR</v>
      </c>
      <c r="J167" s="409">
        <f>+IFERROR(INDEX([4]IMPORTS!$S:$S,MATCH($A167,[4]IMPORTS!$C:$C,0)),"")</f>
        <v>261</v>
      </c>
      <c r="K167" s="403">
        <f t="shared" si="24"/>
        <v>28710</v>
      </c>
      <c r="L167" s="403">
        <f t="shared" si="27"/>
        <v>31.581000000000003</v>
      </c>
      <c r="M167" s="403">
        <f t="shared" si="28"/>
        <v>28741.580999999998</v>
      </c>
      <c r="N167" s="404">
        <f t="shared" si="29"/>
        <v>575</v>
      </c>
      <c r="O167" s="404">
        <f t="shared" si="30"/>
        <v>4599</v>
      </c>
      <c r="P167" s="404">
        <f t="shared" si="31"/>
        <v>1187</v>
      </c>
      <c r="Q167" s="463">
        <f t="shared" si="25"/>
        <v>6361</v>
      </c>
      <c r="R167" s="464">
        <v>3.3610000000000002</v>
      </c>
      <c r="S167" s="463">
        <f t="shared" si="26"/>
        <v>21379.321</v>
      </c>
      <c r="T167" s="397" t="s">
        <v>256</v>
      </c>
    </row>
    <row r="168" spans="1:20" ht="15" hidden="1" x14ac:dyDescent="0.25">
      <c r="A168" s="398" t="s">
        <v>1586</v>
      </c>
      <c r="B168" s="398"/>
      <c r="C168" s="400" t="str">
        <f>+IFERROR(INDEX([4]IMPORTS!$E:$E,MATCH($A168,[4]IMPORTS!$C:$C,0)),"")</f>
        <v>SULFATO DE ZINC HEPTAHIDRATADO</v>
      </c>
      <c r="D168" s="400" t="str">
        <f>+IFERROR(INDEX([4]IMPORTS!$F:$F,MATCH($A168,[4]IMPORTS!$C:$C,0)),"")</f>
        <v>WEGROW AG</v>
      </c>
      <c r="E168" s="465" t="str">
        <f>+IFERROR(INDEX([4]IMPORTS!$AF:$AF,MATCH($A168,[4]IMPORTS!$C:$C,0)),"")</f>
        <v>CALLAO</v>
      </c>
      <c r="F168" s="408">
        <f>+IFERROR(INDEX([4]IMPORTS!$Y:$Y,MATCH($A168,[4]IMPORTS!$C:$C,0)),"")</f>
        <v>44018</v>
      </c>
      <c r="G168" s="408">
        <f t="shared" si="23"/>
        <v>44016</v>
      </c>
      <c r="H168" s="402">
        <f>+IFERROR(INDEX([4]IMPORTS!$P:$P,MATCH($A168,[4]IMPORTS!$C:$C,0)),"")</f>
        <v>216</v>
      </c>
      <c r="I168" s="408" t="str">
        <f>+IFERROR(INDEX([4]IMPORTS!$R:$R,MATCH($A168,[4]IMPORTS!$C:$C,0)),"")</f>
        <v>CPT</v>
      </c>
      <c r="J168" s="409">
        <f>+IFERROR(INDEX([4]IMPORTS!$S:$S,MATCH($A168,[4]IMPORTS!$C:$C,0)),"")</f>
        <v>500</v>
      </c>
      <c r="K168" s="403">
        <f t="shared" si="24"/>
        <v>108000</v>
      </c>
      <c r="L168" s="403">
        <f t="shared" si="27"/>
        <v>118.80000000000001</v>
      </c>
      <c r="M168" s="403">
        <f t="shared" si="28"/>
        <v>108118.8</v>
      </c>
      <c r="N168" s="404">
        <f t="shared" si="29"/>
        <v>2162</v>
      </c>
      <c r="O168" s="404">
        <f t="shared" si="30"/>
        <v>17299</v>
      </c>
      <c r="P168" s="404">
        <f t="shared" si="31"/>
        <v>4465</v>
      </c>
      <c r="Q168" s="463">
        <f t="shared" si="25"/>
        <v>23926</v>
      </c>
      <c r="R168" s="464">
        <v>3.3610000000000002</v>
      </c>
      <c r="S168" s="463">
        <f t="shared" si="26"/>
        <v>80415.286000000007</v>
      </c>
      <c r="T168" s="397" t="s">
        <v>256</v>
      </c>
    </row>
    <row r="169" spans="1:20" ht="15" hidden="1" x14ac:dyDescent="0.25">
      <c r="A169" s="398" t="s">
        <v>1732</v>
      </c>
      <c r="B169" s="398"/>
      <c r="C169" s="400" t="str">
        <f>+IFERROR(INDEX([4]IMPORTS!$E:$E,MATCH($A169,[4]IMPORTS!$C:$C,0)),"")</f>
        <v>SULFATO DE ZINC HEPTAHIDRATADO</v>
      </c>
      <c r="D169" s="400" t="str">
        <f>+IFERROR(INDEX([4]IMPORTS!$F:$F,MATCH($A169,[4]IMPORTS!$C:$C,0)),"")</f>
        <v>WEGROW AG</v>
      </c>
      <c r="E169" s="465" t="str">
        <f>+IFERROR(INDEX([4]IMPORTS!$AF:$AF,MATCH($A169,[4]IMPORTS!$C:$C,0)),"")</f>
        <v>PAITA</v>
      </c>
      <c r="F169" s="408">
        <f>+IFERROR(INDEX([4]IMPORTS!$Y:$Y,MATCH($A169,[4]IMPORTS!$C:$C,0)),"")</f>
        <v>44036</v>
      </c>
      <c r="G169" s="408">
        <f t="shared" si="23"/>
        <v>44034</v>
      </c>
      <c r="H169" s="402">
        <f>+IFERROR(INDEX([4]IMPORTS!$P:$P,MATCH($A169,[4]IMPORTS!$C:$C,0)),"")</f>
        <v>324</v>
      </c>
      <c r="I169" s="408" t="str">
        <f>+IFERROR(INDEX([4]IMPORTS!$R:$R,MATCH($A169,[4]IMPORTS!$C:$C,0)),"")</f>
        <v>CPT</v>
      </c>
      <c r="J169" s="409">
        <f>+IFERROR(INDEX([4]IMPORTS!$S:$S,MATCH($A169,[4]IMPORTS!$C:$C,0)),"")</f>
        <v>510</v>
      </c>
      <c r="K169" s="403">
        <f t="shared" si="24"/>
        <v>165240</v>
      </c>
      <c r="L169" s="403">
        <f t="shared" si="27"/>
        <v>181.76400000000001</v>
      </c>
      <c r="M169" s="403">
        <f t="shared" si="28"/>
        <v>165421.764</v>
      </c>
      <c r="N169" s="404">
        <f t="shared" si="29"/>
        <v>3308</v>
      </c>
      <c r="O169" s="404">
        <f t="shared" si="30"/>
        <v>26467</v>
      </c>
      <c r="P169" s="404">
        <f t="shared" si="31"/>
        <v>6832</v>
      </c>
      <c r="Q169" s="463">
        <f t="shared" si="25"/>
        <v>36607</v>
      </c>
      <c r="R169" s="464">
        <v>3.3610000000000002</v>
      </c>
      <c r="S169" s="463">
        <f t="shared" si="26"/>
        <v>123036.12700000001</v>
      </c>
      <c r="T169" s="397" t="s">
        <v>256</v>
      </c>
    </row>
    <row r="170" spans="1:20" ht="15" hidden="1" x14ac:dyDescent="0.25">
      <c r="A170" s="398" t="s">
        <v>1731</v>
      </c>
      <c r="B170" s="398"/>
      <c r="C170" s="400" t="str">
        <f>+IFERROR(INDEX([4]IMPORTS!$E:$E,MATCH($A170,[4]IMPORTS!$C:$C,0)),"")</f>
        <v>SULFATO DE ZINC HEPTAHIDRATADO</v>
      </c>
      <c r="D170" s="400" t="str">
        <f>+IFERROR(INDEX([4]IMPORTS!$F:$F,MATCH($A170,[4]IMPORTS!$C:$C,0)),"")</f>
        <v>WEGROW AG</v>
      </c>
      <c r="E170" s="465" t="str">
        <f>+IFERROR(INDEX([4]IMPORTS!$AF:$AF,MATCH($A170,[4]IMPORTS!$C:$C,0)),"")</f>
        <v>PAITA</v>
      </c>
      <c r="F170" s="408">
        <f>+IFERROR(INDEX([4]IMPORTS!$Y:$Y,MATCH($A170,[4]IMPORTS!$C:$C,0)),"")</f>
        <v>44036</v>
      </c>
      <c r="G170" s="408">
        <f t="shared" si="23"/>
        <v>44034</v>
      </c>
      <c r="H170" s="402">
        <f>+IFERROR(INDEX([4]IMPORTS!$P:$P,MATCH($A170,[4]IMPORTS!$C:$C,0)),"")</f>
        <v>108</v>
      </c>
      <c r="I170" s="408" t="str">
        <f>+IFERROR(INDEX([4]IMPORTS!$R:$R,MATCH($A170,[4]IMPORTS!$C:$C,0)),"")</f>
        <v>CPT</v>
      </c>
      <c r="J170" s="409">
        <f>+IFERROR(INDEX([4]IMPORTS!$S:$S,MATCH($A170,[4]IMPORTS!$C:$C,0)),"")</f>
        <v>510</v>
      </c>
      <c r="K170" s="403">
        <f t="shared" si="24"/>
        <v>55080</v>
      </c>
      <c r="L170" s="403">
        <f t="shared" si="27"/>
        <v>60.588000000000001</v>
      </c>
      <c r="M170" s="403">
        <f t="shared" si="28"/>
        <v>55140.588000000003</v>
      </c>
      <c r="N170" s="404">
        <f t="shared" si="29"/>
        <v>1103</v>
      </c>
      <c r="O170" s="404">
        <f t="shared" si="30"/>
        <v>8822</v>
      </c>
      <c r="P170" s="404">
        <f t="shared" si="31"/>
        <v>2277</v>
      </c>
      <c r="Q170" s="463">
        <f t="shared" si="25"/>
        <v>12202</v>
      </c>
      <c r="R170" s="464">
        <v>3.3610000000000002</v>
      </c>
      <c r="S170" s="463">
        <f t="shared" si="26"/>
        <v>41010.922000000006</v>
      </c>
      <c r="T170" s="397" t="s">
        <v>256</v>
      </c>
    </row>
    <row r="171" spans="1:20" ht="15" hidden="1" x14ac:dyDescent="0.25">
      <c r="A171" s="398" t="s">
        <v>1637</v>
      </c>
      <c r="B171" s="398"/>
      <c r="C171" s="400" t="str">
        <f>+IFERROR(INDEX([4]IMPORTS!$E:$E,MATCH($A171,[4]IMPORTS!$C:$C,0)),"")</f>
        <v>NITRATO DE MAGNESIO HEXAHIDRATADO</v>
      </c>
      <c r="D171" s="400" t="str">
        <f>+IFERROR(INDEX([4]IMPORTS!$F:$F,MATCH($A171,[4]IMPORTS!$C:$C,0)),"")</f>
        <v>EVA-FERT AG</v>
      </c>
      <c r="E171" s="465" t="str">
        <f>+IFERROR(INDEX([4]IMPORTS!$AF:$AF,MATCH($A171,[4]IMPORTS!$C:$C,0)),"")</f>
        <v>CALLAO</v>
      </c>
      <c r="F171" s="408">
        <f>+IFERROR(INDEX([4]IMPORTS!$Y:$Y,MATCH($A171,[4]IMPORTS!$C:$C,0)),"")</f>
        <v>44026</v>
      </c>
      <c r="G171" s="408">
        <f t="shared" si="23"/>
        <v>44024</v>
      </c>
      <c r="H171" s="402">
        <f>+IFERROR(INDEX([4]IMPORTS!$P:$P,MATCH($A171,[4]IMPORTS!$C:$C,0)),"")</f>
        <v>400</v>
      </c>
      <c r="I171" s="408" t="str">
        <f>+IFERROR(INDEX([4]IMPORTS!$R:$R,MATCH($A171,[4]IMPORTS!$C:$C,0)),"")</f>
        <v>CFR</v>
      </c>
      <c r="J171" s="409">
        <f>+IFERROR(INDEX([4]IMPORTS!$S:$S,MATCH($A171,[4]IMPORTS!$C:$C,0)),"")</f>
        <v>237.5</v>
      </c>
      <c r="K171" s="403">
        <f t="shared" si="24"/>
        <v>95000</v>
      </c>
      <c r="L171" s="403">
        <f t="shared" si="27"/>
        <v>104.5</v>
      </c>
      <c r="M171" s="403">
        <f t="shared" si="28"/>
        <v>95104.5</v>
      </c>
      <c r="N171" s="404">
        <f t="shared" si="29"/>
        <v>1902</v>
      </c>
      <c r="O171" s="404">
        <f t="shared" si="30"/>
        <v>15217</v>
      </c>
      <c r="P171" s="404">
        <f t="shared" si="31"/>
        <v>3928</v>
      </c>
      <c r="Q171" s="463">
        <f t="shared" si="25"/>
        <v>21047</v>
      </c>
      <c r="R171" s="464">
        <v>3.3610000000000002</v>
      </c>
      <c r="S171" s="463">
        <f t="shared" si="26"/>
        <v>70738.967000000004</v>
      </c>
      <c r="T171" s="397" t="s">
        <v>256</v>
      </c>
    </row>
    <row r="172" spans="1:20" ht="15" hidden="1" x14ac:dyDescent="0.25">
      <c r="A172" s="398" t="s">
        <v>1712</v>
      </c>
      <c r="B172" s="398"/>
      <c r="C172" s="400" t="str">
        <f>+IFERROR(INDEX([4]IMPORTS!$E:$E,MATCH($A172,[4]IMPORTS!$C:$C,0)),"")</f>
        <v xml:space="preserve">SULFATO DE MAGNESIO HEPTAHIDRATADO </v>
      </c>
      <c r="D172" s="400" t="str">
        <f>+IFERROR(INDEX([4]IMPORTS!$F:$F,MATCH($A172,[4]IMPORTS!$C:$C,0)),"")</f>
        <v>STAR GRACE MINING CO.,LTD</v>
      </c>
      <c r="E172" s="465" t="str">
        <f>+IFERROR(INDEX([4]IMPORTS!$AF:$AF,MATCH($A172,[4]IMPORTS!$C:$C,0)),"")</f>
        <v>PAITA</v>
      </c>
      <c r="F172" s="408">
        <f>+IFERROR(INDEX([4]IMPORTS!$Y:$Y,MATCH($A172,[4]IMPORTS!$C:$C,0)),"")</f>
        <v>44008</v>
      </c>
      <c r="G172" s="408">
        <f t="shared" si="23"/>
        <v>44006</v>
      </c>
      <c r="H172" s="402">
        <f>+IFERROR(INDEX([4]IMPORTS!$P:$P,MATCH($A172,[4]IMPORTS!$C:$C,0)),"")</f>
        <v>1144</v>
      </c>
      <c r="I172" s="408" t="str">
        <f>+IFERROR(INDEX([4]IMPORTS!$R:$R,MATCH($A172,[4]IMPORTS!$C:$C,0)),"")</f>
        <v>CFR</v>
      </c>
      <c r="J172" s="409">
        <f>+IFERROR(INDEX([4]IMPORTS!$S:$S,MATCH($A172,[4]IMPORTS!$C:$C,0)),"")</f>
        <v>108</v>
      </c>
      <c r="K172" s="403">
        <f t="shared" si="24"/>
        <v>123552</v>
      </c>
      <c r="L172" s="403">
        <f t="shared" si="27"/>
        <v>135.90720000000002</v>
      </c>
      <c r="M172" s="403">
        <f t="shared" si="28"/>
        <v>123687.9072</v>
      </c>
      <c r="N172" s="404">
        <f t="shared" si="29"/>
        <v>2474</v>
      </c>
      <c r="O172" s="404">
        <f t="shared" si="30"/>
        <v>19790</v>
      </c>
      <c r="P172" s="404">
        <f t="shared" si="31"/>
        <v>5108</v>
      </c>
      <c r="Q172" s="463">
        <f t="shared" si="25"/>
        <v>27372</v>
      </c>
      <c r="R172" s="464">
        <v>3.3610000000000002</v>
      </c>
      <c r="S172" s="463">
        <f t="shared" si="26"/>
        <v>91997.292000000001</v>
      </c>
      <c r="T172" s="397" t="s">
        <v>256</v>
      </c>
    </row>
    <row r="173" spans="1:20" ht="15" hidden="1" x14ac:dyDescent="0.25">
      <c r="A173" s="398" t="s">
        <v>1713</v>
      </c>
      <c r="B173" s="398"/>
      <c r="C173" s="400" t="str">
        <f>+IFERROR(INDEX([4]IMPORTS!$E:$E,MATCH($A173,[4]IMPORTS!$C:$C,0)),"")</f>
        <v xml:space="preserve">SULFATO DE MAGNESIO HEPTAHIDRATADO </v>
      </c>
      <c r="D173" s="400" t="str">
        <f>+IFERROR(INDEX([4]IMPORTS!$F:$F,MATCH($A173,[4]IMPORTS!$C:$C,0)),"")</f>
        <v>STAR GRACE MINING CO.,LTD</v>
      </c>
      <c r="E173" s="465" t="str">
        <f>+IFERROR(INDEX([4]IMPORTS!$AF:$AF,MATCH($A173,[4]IMPORTS!$C:$C,0)),"")</f>
        <v>PAITA</v>
      </c>
      <c r="F173" s="408">
        <f>+IFERROR(INDEX([4]IMPORTS!$Y:$Y,MATCH($A173,[4]IMPORTS!$C:$C,0)),"")</f>
        <v>44029</v>
      </c>
      <c r="G173" s="408">
        <f t="shared" si="23"/>
        <v>44027</v>
      </c>
      <c r="H173" s="402">
        <f>+IFERROR(INDEX([4]IMPORTS!$P:$P,MATCH($A173,[4]IMPORTS!$C:$C,0)),"")</f>
        <v>858</v>
      </c>
      <c r="I173" s="408" t="str">
        <f>+IFERROR(INDEX([4]IMPORTS!$R:$R,MATCH($A173,[4]IMPORTS!$C:$C,0)),"")</f>
        <v>CFR</v>
      </c>
      <c r="J173" s="409">
        <f>+IFERROR(INDEX([4]IMPORTS!$S:$S,MATCH($A173,[4]IMPORTS!$C:$C,0)),"")</f>
        <v>108</v>
      </c>
      <c r="K173" s="403">
        <f t="shared" si="24"/>
        <v>92664</v>
      </c>
      <c r="L173" s="403">
        <f t="shared" si="27"/>
        <v>101.93040000000001</v>
      </c>
      <c r="M173" s="403">
        <f t="shared" si="28"/>
        <v>92765.930399999997</v>
      </c>
      <c r="N173" s="404">
        <f t="shared" si="29"/>
        <v>1855</v>
      </c>
      <c r="O173" s="404">
        <f t="shared" si="30"/>
        <v>14843</v>
      </c>
      <c r="P173" s="404">
        <f t="shared" si="31"/>
        <v>3831</v>
      </c>
      <c r="Q173" s="463">
        <f t="shared" si="25"/>
        <v>20529</v>
      </c>
      <c r="R173" s="464">
        <v>3.3610000000000002</v>
      </c>
      <c r="S173" s="463">
        <f t="shared" si="26"/>
        <v>68997.968999999997</v>
      </c>
      <c r="T173" s="397" t="s">
        <v>256</v>
      </c>
    </row>
    <row r="174" spans="1:20" ht="15" hidden="1" x14ac:dyDescent="0.25">
      <c r="A174" s="398" t="s">
        <v>1641</v>
      </c>
      <c r="B174" s="398"/>
      <c r="C174" s="400" t="str">
        <f>+IFERROR(INDEX([4]IMPORTS!$E:$E,MATCH($A174,[4]IMPORTS!$C:$C,0)),"")</f>
        <v xml:space="preserve">SULFATO DE MAGNESIO HEPTAHIDRATADO </v>
      </c>
      <c r="D174" s="400" t="str">
        <f>+IFERROR(INDEX([4]IMPORTS!$F:$F,MATCH($A174,[4]IMPORTS!$C:$C,0)),"")</f>
        <v>STAR GRACE MINING CO.,LTD</v>
      </c>
      <c r="E174" s="465" t="str">
        <f>+IFERROR(INDEX([4]IMPORTS!$AF:$AF,MATCH($A174,[4]IMPORTS!$C:$C,0)),"")</f>
        <v>CALLAO</v>
      </c>
      <c r="F174" s="408">
        <f>+IFERROR(INDEX([4]IMPORTS!$Y:$Y,MATCH($A174,[4]IMPORTS!$C:$C,0)),"")</f>
        <v>44071</v>
      </c>
      <c r="G174" s="408">
        <f t="shared" si="23"/>
        <v>44069</v>
      </c>
      <c r="H174" s="402">
        <f>+IFERROR(INDEX([4]IMPORTS!$P:$P,MATCH($A174,[4]IMPORTS!$C:$C,0)),"")</f>
        <v>2400</v>
      </c>
      <c r="I174" s="408" t="str">
        <f>+IFERROR(INDEX([4]IMPORTS!$R:$R,MATCH($A174,[4]IMPORTS!$C:$C,0)),"")</f>
        <v>CFR</v>
      </c>
      <c r="J174" s="409">
        <f>+IFERROR(INDEX([4]IMPORTS!$S:$S,MATCH($A174,[4]IMPORTS!$C:$C,0)),"")</f>
        <v>102</v>
      </c>
      <c r="K174" s="403">
        <f t="shared" si="24"/>
        <v>244800</v>
      </c>
      <c r="L174" s="403">
        <f t="shared" si="27"/>
        <v>269.28000000000003</v>
      </c>
      <c r="M174" s="403">
        <f t="shared" si="28"/>
        <v>245069.28</v>
      </c>
      <c r="N174" s="404">
        <f t="shared" si="29"/>
        <v>4901</v>
      </c>
      <c r="O174" s="404">
        <f t="shared" si="30"/>
        <v>39211</v>
      </c>
      <c r="P174" s="404">
        <f t="shared" si="31"/>
        <v>10121</v>
      </c>
      <c r="Q174" s="463">
        <f t="shared" si="25"/>
        <v>54233</v>
      </c>
      <c r="R174" s="464">
        <v>3.3610000000000002</v>
      </c>
      <c r="S174" s="463">
        <f t="shared" si="26"/>
        <v>182277.11300000001</v>
      </c>
      <c r="T174" s="397" t="s">
        <v>256</v>
      </c>
    </row>
    <row r="175" spans="1:20" ht="15" hidden="1" x14ac:dyDescent="0.25">
      <c r="A175" s="398" t="s">
        <v>1642</v>
      </c>
      <c r="B175" s="398"/>
      <c r="C175" s="400" t="str">
        <f>+IFERROR(INDEX([4]IMPORTS!$E:$E,MATCH($A175,[4]IMPORTS!$C:$C,0)),"")</f>
        <v xml:space="preserve">SULFATO DE MAGNESIO HEPTAHIDRATADO </v>
      </c>
      <c r="D175" s="400" t="str">
        <f>+IFERROR(INDEX([4]IMPORTS!$F:$F,MATCH($A175,[4]IMPORTS!$C:$C,0)),"")</f>
        <v>STAR GRACE MINING CO.,LTD</v>
      </c>
      <c r="E175" s="465" t="str">
        <f>+IFERROR(INDEX([4]IMPORTS!$AF:$AF,MATCH($A175,[4]IMPORTS!$C:$C,0)),"")</f>
        <v>MATARANI</v>
      </c>
      <c r="F175" s="408">
        <f>+IFERROR(INDEX([4]IMPORTS!$Y:$Y,MATCH($A175,[4]IMPORTS!$C:$C,0)),"")</f>
        <v>44040</v>
      </c>
      <c r="G175" s="408">
        <f t="shared" si="23"/>
        <v>44038</v>
      </c>
      <c r="H175" s="402">
        <f>+IFERROR(INDEX([4]IMPORTS!$P:$P,MATCH($A175,[4]IMPORTS!$C:$C,0)),"")</f>
        <v>600</v>
      </c>
      <c r="I175" s="408" t="str">
        <f>+IFERROR(INDEX([4]IMPORTS!$R:$R,MATCH($A175,[4]IMPORTS!$C:$C,0)),"")</f>
        <v>CFR</v>
      </c>
      <c r="J175" s="409">
        <f>+IFERROR(INDEX([4]IMPORTS!$S:$S,MATCH($A175,[4]IMPORTS!$C:$C,0)),"")</f>
        <v>113</v>
      </c>
      <c r="K175" s="403">
        <f t="shared" si="24"/>
        <v>67800</v>
      </c>
      <c r="L175" s="403">
        <f t="shared" si="27"/>
        <v>74.58</v>
      </c>
      <c r="M175" s="403">
        <f t="shared" si="28"/>
        <v>67874.58</v>
      </c>
      <c r="N175" s="404">
        <f t="shared" si="29"/>
        <v>1357</v>
      </c>
      <c r="O175" s="404">
        <f t="shared" si="30"/>
        <v>10860</v>
      </c>
      <c r="P175" s="404">
        <f t="shared" si="31"/>
        <v>2803</v>
      </c>
      <c r="Q175" s="463">
        <f t="shared" si="25"/>
        <v>15020</v>
      </c>
      <c r="R175" s="464">
        <v>3.3610000000000002</v>
      </c>
      <c r="S175" s="463">
        <f t="shared" si="26"/>
        <v>50482.22</v>
      </c>
      <c r="T175" s="397" t="s">
        <v>256</v>
      </c>
    </row>
    <row r="176" spans="1:20" ht="15" hidden="1" x14ac:dyDescent="0.25">
      <c r="A176" s="398" t="s">
        <v>1644</v>
      </c>
      <c r="B176" s="398"/>
      <c r="C176" s="400" t="str">
        <f>+IFERROR(INDEX([4]IMPORTS!$E:$E,MATCH($A176,[4]IMPORTS!$C:$C,0)),"")</f>
        <v>ÁCIDO FOSFÓRICO</v>
      </c>
      <c r="D176" s="400" t="str">
        <f>+IFERROR(INDEX([4]IMPORTS!$F:$F,MATCH($A176,[4]IMPORTS!$C:$C,0)),"")</f>
        <v>MITSUI &amp; CO., Ltda</v>
      </c>
      <c r="E176" s="465" t="str">
        <f>+IFERROR(INDEX([4]IMPORTS!$AF:$AF,MATCH($A176,[4]IMPORTS!$C:$C,0)),"")</f>
        <v>PAITA</v>
      </c>
      <c r="F176" s="408">
        <f>+IFERROR(INDEX([4]IMPORTS!$Y:$Y,MATCH($A176,[4]IMPORTS!$C:$C,0)),"")</f>
        <v>44034</v>
      </c>
      <c r="G176" s="408">
        <f t="shared" si="23"/>
        <v>44032</v>
      </c>
      <c r="H176" s="402">
        <f>+IFERROR(INDEX([4]IMPORTS!$P:$P,MATCH($A176,[4]IMPORTS!$C:$C,0)),"")</f>
        <v>319.2</v>
      </c>
      <c r="I176" s="408" t="str">
        <f>+IFERROR(INDEX([4]IMPORTS!$R:$R,MATCH($A176,[4]IMPORTS!$C:$C,0)),"")</f>
        <v>CFR</v>
      </c>
      <c r="J176" s="409">
        <f>+IFERROR(INDEX([4]IMPORTS!$S:$S,MATCH($A176,[4]IMPORTS!$C:$C,0)),"")</f>
        <v>865</v>
      </c>
      <c r="K176" s="403">
        <f t="shared" si="24"/>
        <v>276108</v>
      </c>
      <c r="L176" s="403">
        <f t="shared" si="27"/>
        <v>303.71880000000004</v>
      </c>
      <c r="M176" s="403">
        <f t="shared" si="28"/>
        <v>276411.71879999997</v>
      </c>
      <c r="N176" s="404">
        <f t="shared" si="29"/>
        <v>5528</v>
      </c>
      <c r="O176" s="404">
        <f t="shared" si="30"/>
        <v>44226</v>
      </c>
      <c r="P176" s="404">
        <f t="shared" si="31"/>
        <v>11416</v>
      </c>
      <c r="Q176" s="463">
        <f t="shared" si="25"/>
        <v>61170</v>
      </c>
      <c r="R176" s="464">
        <v>3.3610000000000002</v>
      </c>
      <c r="S176" s="463">
        <f t="shared" si="26"/>
        <v>205592.37000000002</v>
      </c>
      <c r="T176" s="397" t="s">
        <v>256</v>
      </c>
    </row>
    <row r="177" spans="1:20" ht="15" hidden="1" x14ac:dyDescent="0.25">
      <c r="A177" s="398" t="s">
        <v>1645</v>
      </c>
      <c r="B177" s="398"/>
      <c r="C177" s="400" t="str">
        <f>+IFERROR(INDEX([4]IMPORTS!$E:$E,MATCH($A177,[4]IMPORTS!$C:$C,0)),"")</f>
        <v>ÁCIDO FOSFÓRICO</v>
      </c>
      <c r="D177" s="400" t="str">
        <f>+IFERROR(INDEX([4]IMPORTS!$F:$F,MATCH($A177,[4]IMPORTS!$C:$C,0)),"")</f>
        <v>MITSUI &amp; CO., Ltda</v>
      </c>
      <c r="E177" s="465" t="str">
        <f>+IFERROR(INDEX([4]IMPORTS!$AF:$AF,MATCH($A177,[4]IMPORTS!$C:$C,0)),"")</f>
        <v>MATARANI</v>
      </c>
      <c r="F177" s="408">
        <f>+IFERROR(INDEX([4]IMPORTS!$Y:$Y,MATCH($A177,[4]IMPORTS!$C:$C,0)),"")</f>
        <v>44056</v>
      </c>
      <c r="G177" s="408">
        <f t="shared" si="23"/>
        <v>44054</v>
      </c>
      <c r="H177" s="402">
        <f>+IFERROR(INDEX([4]IMPORTS!$P:$P,MATCH($A177,[4]IMPORTS!$C:$C,0)),"")</f>
        <v>159.6</v>
      </c>
      <c r="I177" s="408" t="str">
        <f>+IFERROR(INDEX([4]IMPORTS!$R:$R,MATCH($A177,[4]IMPORTS!$C:$C,0)),"")</f>
        <v>CFR</v>
      </c>
      <c r="J177" s="409">
        <f>+IFERROR(INDEX([4]IMPORTS!$S:$S,MATCH($A177,[4]IMPORTS!$C:$C,0)),"")</f>
        <v>890</v>
      </c>
      <c r="K177" s="403">
        <f t="shared" si="24"/>
        <v>142044</v>
      </c>
      <c r="L177" s="403">
        <f t="shared" si="27"/>
        <v>156.2484</v>
      </c>
      <c r="M177" s="403">
        <f t="shared" si="28"/>
        <v>142200.24840000001</v>
      </c>
      <c r="N177" s="404">
        <f t="shared" si="29"/>
        <v>2844</v>
      </c>
      <c r="O177" s="404">
        <f t="shared" si="30"/>
        <v>22752</v>
      </c>
      <c r="P177" s="404">
        <f t="shared" si="31"/>
        <v>5873</v>
      </c>
      <c r="Q177" s="463">
        <f t="shared" si="25"/>
        <v>31469</v>
      </c>
      <c r="R177" s="464">
        <v>3.3610000000000002</v>
      </c>
      <c r="S177" s="463">
        <f t="shared" si="26"/>
        <v>105767.30900000001</v>
      </c>
      <c r="T177" s="397" t="s">
        <v>256</v>
      </c>
    </row>
    <row r="178" spans="1:20" ht="15" hidden="1" x14ac:dyDescent="0.25">
      <c r="A178" s="398" t="s">
        <v>1648</v>
      </c>
      <c r="B178" s="398"/>
      <c r="C178" s="400" t="str">
        <f>+IFERROR(INDEX([4]IMPORTS!$E:$E,MATCH($A178,[4]IMPORTS!$C:$C,0)),"")</f>
        <v>SULFATO DE ZINC HEPTAHIDRATADO</v>
      </c>
      <c r="D178" s="400" t="str">
        <f>+IFERROR(INDEX([4]IMPORTS!$F:$F,MATCH($A178,[4]IMPORTS!$C:$C,0)),"")</f>
        <v>STAR GRACE MINING CO.,LTD</v>
      </c>
      <c r="E178" s="465" t="str">
        <f>+IFERROR(INDEX([4]IMPORTS!$AF:$AF,MATCH($A178,[4]IMPORTS!$C:$C,0)),"")</f>
        <v>MATARANI</v>
      </c>
      <c r="F178" s="408">
        <f>+IFERROR(INDEX([4]IMPORTS!$Y:$Y,MATCH($A178,[4]IMPORTS!$C:$C,0)),"")</f>
        <v>44040</v>
      </c>
      <c r="G178" s="408">
        <f t="shared" si="23"/>
        <v>44038</v>
      </c>
      <c r="H178" s="402">
        <f>+IFERROR(INDEX([4]IMPORTS!$P:$P,MATCH($A178,[4]IMPORTS!$C:$C,0)),"")</f>
        <v>50.4</v>
      </c>
      <c r="I178" s="408" t="str">
        <f>+IFERROR(INDEX([4]IMPORTS!$R:$R,MATCH($A178,[4]IMPORTS!$C:$C,0)),"")</f>
        <v>CFR</v>
      </c>
      <c r="J178" s="409">
        <f>+IFERROR(INDEX([4]IMPORTS!$S:$S,MATCH($A178,[4]IMPORTS!$C:$C,0)),"")</f>
        <v>460</v>
      </c>
      <c r="K178" s="403">
        <f t="shared" si="24"/>
        <v>23184</v>
      </c>
      <c r="L178" s="403">
        <f t="shared" si="27"/>
        <v>25.502400000000002</v>
      </c>
      <c r="M178" s="403">
        <f t="shared" si="28"/>
        <v>23209.502400000001</v>
      </c>
      <c r="N178" s="404">
        <f t="shared" si="29"/>
        <v>464</v>
      </c>
      <c r="O178" s="404">
        <f t="shared" si="30"/>
        <v>3714</v>
      </c>
      <c r="P178" s="404">
        <f t="shared" si="31"/>
        <v>959</v>
      </c>
      <c r="Q178" s="463">
        <f t="shared" si="25"/>
        <v>5137</v>
      </c>
      <c r="R178" s="464">
        <v>3.3610000000000002</v>
      </c>
      <c r="S178" s="463">
        <f t="shared" si="26"/>
        <v>17265.457000000002</v>
      </c>
      <c r="T178" s="397" t="s">
        <v>256</v>
      </c>
    </row>
    <row r="179" spans="1:20" ht="15" hidden="1" x14ac:dyDescent="0.25">
      <c r="A179" s="398" t="s">
        <v>1669</v>
      </c>
      <c r="B179" s="398"/>
      <c r="C179" s="400" t="str">
        <f>+IFERROR(INDEX([4]IMPORTS!$E:$E,MATCH($A179,[4]IMPORTS!$C:$C,0)),"")</f>
        <v>SULFATO DE ZINC HEPTAHIDRATADO</v>
      </c>
      <c r="D179" s="400" t="str">
        <f>+IFERROR(INDEX([4]IMPORTS!$F:$F,MATCH($A179,[4]IMPORTS!$C:$C,0)),"")</f>
        <v>MITSUI &amp; CO., Ltda</v>
      </c>
      <c r="E179" s="465" t="str">
        <f>+IFERROR(INDEX([4]IMPORTS!$AF:$AF,MATCH($A179,[4]IMPORTS!$C:$C,0)),"")</f>
        <v>CALLAO</v>
      </c>
      <c r="F179" s="408">
        <f>+IFERROR(INDEX([4]IMPORTS!$Y:$Y,MATCH($A179,[4]IMPORTS!$C:$C,0)),"")</f>
        <v>44026</v>
      </c>
      <c r="G179" s="408">
        <f t="shared" si="23"/>
        <v>44024</v>
      </c>
      <c r="H179" s="402">
        <f>+IFERROR(INDEX([4]IMPORTS!$P:$P,MATCH($A179,[4]IMPORTS!$C:$C,0)),"")</f>
        <v>165</v>
      </c>
      <c r="I179" s="408" t="str">
        <f>+IFERROR(INDEX([4]IMPORTS!$R:$R,MATCH($A179,[4]IMPORTS!$C:$C,0)),"")</f>
        <v>CFR</v>
      </c>
      <c r="J179" s="409">
        <f>+IFERROR(INDEX([4]IMPORTS!$S:$S,MATCH($A179,[4]IMPORTS!$C:$C,0)),"")</f>
        <v>443</v>
      </c>
      <c r="K179" s="403">
        <f t="shared" si="24"/>
        <v>73095</v>
      </c>
      <c r="L179" s="403">
        <f t="shared" si="27"/>
        <v>80.404499999999999</v>
      </c>
      <c r="M179" s="403">
        <f t="shared" si="28"/>
        <v>73175.404500000004</v>
      </c>
      <c r="N179" s="404">
        <f t="shared" si="29"/>
        <v>1464</v>
      </c>
      <c r="O179" s="404">
        <f t="shared" si="30"/>
        <v>11708</v>
      </c>
      <c r="P179" s="404">
        <f t="shared" si="31"/>
        <v>3022</v>
      </c>
      <c r="Q179" s="463">
        <f t="shared" si="25"/>
        <v>16194</v>
      </c>
      <c r="R179" s="464">
        <v>3.3610000000000002</v>
      </c>
      <c r="S179" s="463">
        <f t="shared" si="26"/>
        <v>54428.034000000007</v>
      </c>
      <c r="T179" s="397" t="s">
        <v>256</v>
      </c>
    </row>
    <row r="180" spans="1:20" ht="15" hidden="1" x14ac:dyDescent="0.25">
      <c r="A180" s="398" t="s">
        <v>1677</v>
      </c>
      <c r="B180" s="398"/>
      <c r="C180" s="400" t="str">
        <f>+IFERROR(INDEX([4]IMPORTS!$E:$E,MATCH($A180,[4]IMPORTS!$C:$C,0)),"")</f>
        <v>ÁCIDO FOSFÓRICO</v>
      </c>
      <c r="D180" s="400" t="str">
        <f>+IFERROR(INDEX([4]IMPORTS!$F:$F,MATCH($A180,[4]IMPORTS!$C:$C,0)),"")</f>
        <v>NITRON GROUP LLC</v>
      </c>
      <c r="E180" s="465" t="str">
        <f>+IFERROR(INDEX([4]IMPORTS!$AF:$AF,MATCH($A180,[4]IMPORTS!$C:$C,0)),"")</f>
        <v>CALLAO</v>
      </c>
      <c r="F180" s="408">
        <f>+IFERROR(INDEX([4]IMPORTS!$Y:$Y,MATCH($A180,[4]IMPORTS!$C:$C,0)),"")</f>
        <v>44008</v>
      </c>
      <c r="G180" s="408">
        <f t="shared" si="23"/>
        <v>44006</v>
      </c>
      <c r="H180" s="402">
        <f>+IFERROR(INDEX([4]IMPORTS!$P:$P,MATCH($A180,[4]IMPORTS!$C:$C,0)),"")</f>
        <v>552</v>
      </c>
      <c r="I180" s="408" t="str">
        <f>+IFERROR(INDEX([4]IMPORTS!$R:$R,MATCH($A180,[4]IMPORTS!$C:$C,0)),"")</f>
        <v>CFR</v>
      </c>
      <c r="J180" s="409">
        <f>+IFERROR(INDEX([4]IMPORTS!$S:$S,MATCH($A180,[4]IMPORTS!$C:$C,0)),"")</f>
        <v>865</v>
      </c>
      <c r="K180" s="403">
        <f t="shared" si="24"/>
        <v>477480</v>
      </c>
      <c r="L180" s="403">
        <f t="shared" si="27"/>
        <v>525.22800000000007</v>
      </c>
      <c r="M180" s="403">
        <f t="shared" si="28"/>
        <v>478005.228</v>
      </c>
      <c r="N180" s="404">
        <f t="shared" si="29"/>
        <v>9560</v>
      </c>
      <c r="O180" s="404">
        <f t="shared" si="30"/>
        <v>76481</v>
      </c>
      <c r="P180" s="404">
        <f t="shared" si="31"/>
        <v>19742</v>
      </c>
      <c r="Q180" s="463">
        <f t="shared" si="25"/>
        <v>105783</v>
      </c>
      <c r="R180" s="464">
        <v>3.3610000000000002</v>
      </c>
      <c r="S180" s="463">
        <f t="shared" si="26"/>
        <v>355536.663</v>
      </c>
      <c r="T180" s="397" t="s">
        <v>256</v>
      </c>
    </row>
    <row r="181" spans="1:20" ht="15" hidden="1" x14ac:dyDescent="0.25">
      <c r="A181" s="398" t="s">
        <v>1678</v>
      </c>
      <c r="B181" s="398"/>
      <c r="C181" s="400" t="str">
        <f>+IFERROR(INDEX([4]IMPORTS!$E:$E,MATCH($A181,[4]IMPORTS!$C:$C,0)),"")</f>
        <v>ÁCIDO FOSFÓRICO</v>
      </c>
      <c r="D181" s="400" t="str">
        <f>+IFERROR(INDEX([4]IMPORTS!$F:$F,MATCH($A181,[4]IMPORTS!$C:$C,0)),"")</f>
        <v>NITRON GROUP LLC</v>
      </c>
      <c r="E181" s="465" t="str">
        <f>+IFERROR(INDEX([4]IMPORTS!$AF:$AF,MATCH($A181,[4]IMPORTS!$C:$C,0)),"")</f>
        <v>PAITA</v>
      </c>
      <c r="F181" s="408">
        <f>+IFERROR(INDEX([4]IMPORTS!$Y:$Y,MATCH($A181,[4]IMPORTS!$C:$C,0)),"")</f>
        <v>44008</v>
      </c>
      <c r="G181" s="408">
        <f t="shared" si="23"/>
        <v>44006</v>
      </c>
      <c r="H181" s="402">
        <f>+IFERROR(INDEX([4]IMPORTS!$P:$P,MATCH($A181,[4]IMPORTS!$C:$C,0)),"")</f>
        <v>456</v>
      </c>
      <c r="I181" s="408" t="str">
        <f>+IFERROR(INDEX([4]IMPORTS!$R:$R,MATCH($A181,[4]IMPORTS!$C:$C,0)),"")</f>
        <v>CFR</v>
      </c>
      <c r="J181" s="409">
        <f>+IFERROR(INDEX([4]IMPORTS!$S:$S,MATCH($A181,[4]IMPORTS!$C:$C,0)),"")</f>
        <v>875</v>
      </c>
      <c r="K181" s="403">
        <f t="shared" si="24"/>
        <v>399000</v>
      </c>
      <c r="L181" s="403">
        <f t="shared" si="27"/>
        <v>438.90000000000003</v>
      </c>
      <c r="M181" s="403">
        <f t="shared" si="28"/>
        <v>399438.9</v>
      </c>
      <c r="N181" s="404">
        <f t="shared" si="29"/>
        <v>7989</v>
      </c>
      <c r="O181" s="404">
        <f t="shared" si="30"/>
        <v>63910</v>
      </c>
      <c r="P181" s="404">
        <f t="shared" si="31"/>
        <v>16497</v>
      </c>
      <c r="Q181" s="463">
        <f t="shared" si="25"/>
        <v>88396</v>
      </c>
      <c r="R181" s="464">
        <v>3.3610000000000002</v>
      </c>
      <c r="S181" s="463">
        <f t="shared" si="26"/>
        <v>297098.95600000001</v>
      </c>
      <c r="T181" s="397" t="s">
        <v>256</v>
      </c>
    </row>
    <row r="182" spans="1:20" ht="15" hidden="1" x14ac:dyDescent="0.25">
      <c r="A182" s="398" t="s">
        <v>1750</v>
      </c>
      <c r="B182" s="398"/>
      <c r="C182" s="400" t="str">
        <f>+IFERROR(INDEX([4]IMPORTS!$E:$E,MATCH($A182,[4]IMPORTS!$C:$C,0)),"")</f>
        <v>YARATERA CALCINIT X 25KG</v>
      </c>
      <c r="D182" s="400" t="str">
        <f>+IFERROR(INDEX([4]IMPORTS!$F:$F,MATCH($A182,[4]IMPORTS!$C:$C,0)),"")</f>
        <v>YARA PERÚ SRL</v>
      </c>
      <c r="E182" s="465" t="str">
        <f>+IFERROR(INDEX([4]IMPORTS!$AF:$AF,MATCH($A182,[4]IMPORTS!$C:$C,0)),"")</f>
        <v>MATARANI</v>
      </c>
      <c r="F182" s="408">
        <f>+IFERROR(INDEX([4]IMPORTS!$Y:$Y,MATCH($A182,[4]IMPORTS!$C:$C,0)),"")</f>
        <v>44035</v>
      </c>
      <c r="G182" s="408">
        <f t="shared" si="23"/>
        <v>44033</v>
      </c>
      <c r="H182" s="402">
        <f>+IFERROR(INDEX([4]IMPORTS!$P:$P,MATCH($A182,[4]IMPORTS!$C:$C,0)),"")</f>
        <v>75</v>
      </c>
      <c r="I182" s="408" t="str">
        <f>+IFERROR(INDEX([4]IMPORTS!$R:$R,MATCH($A182,[4]IMPORTS!$C:$C,0)),"")</f>
        <v>CFR</v>
      </c>
      <c r="J182" s="409">
        <f>+IFERROR(INDEX([4]IMPORTS!$S:$S,MATCH($A182,[4]IMPORTS!$C:$C,0)),"")</f>
        <v>220.34</v>
      </c>
      <c r="K182" s="403">
        <f t="shared" si="24"/>
        <v>16525.5</v>
      </c>
      <c r="L182" s="403">
        <f t="shared" si="27"/>
        <v>18.178050000000002</v>
      </c>
      <c r="M182" s="403">
        <f t="shared" si="28"/>
        <v>16543.678049999999</v>
      </c>
      <c r="N182" s="404">
        <f t="shared" si="29"/>
        <v>331</v>
      </c>
      <c r="O182" s="404">
        <f t="shared" si="30"/>
        <v>2647</v>
      </c>
      <c r="P182" s="404">
        <f t="shared" si="31"/>
        <v>683</v>
      </c>
      <c r="Q182" s="463">
        <f t="shared" si="25"/>
        <v>3661</v>
      </c>
      <c r="R182" s="464">
        <v>3.3610000000000002</v>
      </c>
      <c r="S182" s="463">
        <f t="shared" si="26"/>
        <v>12304.621000000001</v>
      </c>
      <c r="T182" s="397" t="s">
        <v>256</v>
      </c>
    </row>
    <row r="183" spans="1:20" ht="15" hidden="1" x14ac:dyDescent="0.25">
      <c r="A183" s="398" t="s">
        <v>1762</v>
      </c>
      <c r="B183" s="398"/>
      <c r="C183" s="400" t="str">
        <f>+IFERROR(INDEX([4]IMPORTS!$E:$E,MATCH($A183,[4]IMPORTS!$C:$C,0)),"")</f>
        <v>YARATERA CALCINIT X 25KG</v>
      </c>
      <c r="D183" s="400" t="str">
        <f>+IFERROR(INDEX([4]IMPORTS!$F:$F,MATCH($A183,[4]IMPORTS!$C:$C,0)),"")</f>
        <v>YARA PERÚ SRL</v>
      </c>
      <c r="E183" s="465" t="str">
        <f>+IFERROR(INDEX([4]IMPORTS!$AF:$AF,MATCH($A183,[4]IMPORTS!$C:$C,0)),"")</f>
        <v>CALLAO</v>
      </c>
      <c r="F183" s="408">
        <f>+IFERROR(INDEX([4]IMPORTS!$Y:$Y,MATCH($A183,[4]IMPORTS!$C:$C,0)),"")</f>
        <v>44008</v>
      </c>
      <c r="G183" s="408">
        <f t="shared" si="23"/>
        <v>44006</v>
      </c>
      <c r="H183" s="402">
        <f>+IFERROR(INDEX([4]IMPORTS!$P:$P,MATCH($A183,[4]IMPORTS!$C:$C,0)),"")</f>
        <v>500</v>
      </c>
      <c r="I183" s="408" t="str">
        <f>+IFERROR(INDEX([4]IMPORTS!$R:$R,MATCH($A183,[4]IMPORTS!$C:$C,0)),"")</f>
        <v>CFR</v>
      </c>
      <c r="J183" s="409">
        <f>+IFERROR(INDEX([4]IMPORTS!$S:$S,MATCH($A183,[4]IMPORTS!$C:$C,0)),"")</f>
        <v>220.34</v>
      </c>
      <c r="K183" s="403">
        <f t="shared" si="24"/>
        <v>110170</v>
      </c>
      <c r="L183" s="403">
        <f t="shared" si="27"/>
        <v>121.18700000000001</v>
      </c>
      <c r="M183" s="403">
        <f t="shared" si="28"/>
        <v>110291.18700000001</v>
      </c>
      <c r="N183" s="404">
        <f t="shared" si="29"/>
        <v>2206</v>
      </c>
      <c r="O183" s="404">
        <f t="shared" si="30"/>
        <v>17647</v>
      </c>
      <c r="P183" s="404">
        <f t="shared" si="31"/>
        <v>4555</v>
      </c>
      <c r="Q183" s="463">
        <f t="shared" si="25"/>
        <v>24408</v>
      </c>
      <c r="R183" s="464">
        <v>3.3610000000000002</v>
      </c>
      <c r="S183" s="463">
        <f t="shared" si="26"/>
        <v>82035.288</v>
      </c>
      <c r="T183" s="397" t="s">
        <v>256</v>
      </c>
    </row>
    <row r="184" spans="1:20" ht="15" hidden="1" x14ac:dyDescent="0.25">
      <c r="A184" s="398" t="s">
        <v>1647</v>
      </c>
      <c r="B184" s="398"/>
      <c r="C184" s="400" t="str">
        <f>+IFERROR(INDEX([4]IMPORTS!$E:$E,MATCH($A184,[4]IMPORTS!$C:$C,0)),"")</f>
        <v>SULFATO DE ZINC HEPTAHIDRATADO</v>
      </c>
      <c r="D184" s="400" t="str">
        <f>+IFERROR(INDEX([4]IMPORTS!$F:$F,MATCH($A184,[4]IMPORTS!$C:$C,0)),"")</f>
        <v>STAR GRACE MINING CO.,LTD</v>
      </c>
      <c r="E184" s="465" t="str">
        <f>+IFERROR(INDEX([4]IMPORTS!$AF:$AF,MATCH($A184,[4]IMPORTS!$C:$C,0)),"")</f>
        <v>CALLAO</v>
      </c>
      <c r="F184" s="408">
        <f>+IFERROR(INDEX([4]IMPORTS!$Y:$Y,MATCH($A184,[4]IMPORTS!$C:$C,0)),"")</f>
        <v>44071</v>
      </c>
      <c r="G184" s="408">
        <f t="shared" si="23"/>
        <v>44069</v>
      </c>
      <c r="H184" s="402">
        <f>+IFERROR(INDEX([4]IMPORTS!$P:$P,MATCH($A184,[4]IMPORTS!$C:$C,0)),"")</f>
        <v>301.2</v>
      </c>
      <c r="I184" s="408" t="str">
        <f>+IFERROR(INDEX([4]IMPORTS!$R:$R,MATCH($A184,[4]IMPORTS!$C:$C,0)),"")</f>
        <v>CFR</v>
      </c>
      <c r="J184" s="409">
        <f>+IFERROR(INDEX([4]IMPORTS!$S:$S,MATCH($A184,[4]IMPORTS!$C:$C,0)),"")</f>
        <v>447</v>
      </c>
      <c r="K184" s="403">
        <f t="shared" si="24"/>
        <v>134636.4</v>
      </c>
      <c r="L184" s="403">
        <f>+K184*0.11%</f>
        <v>148.10004000000001</v>
      </c>
      <c r="M184" s="403">
        <f>+K184+L184</f>
        <v>134784.50003999998</v>
      </c>
      <c r="N184" s="404">
        <f>ROUND(M184*2%,0)</f>
        <v>2696</v>
      </c>
      <c r="O184" s="404">
        <f>ROUND(M184*16%,0)</f>
        <v>21566</v>
      </c>
      <c r="P184" s="404">
        <f>ROUND((M184+N184+O184)*3.5%,0)</f>
        <v>5567</v>
      </c>
      <c r="Q184" s="463">
        <f t="shared" si="25"/>
        <v>29829</v>
      </c>
      <c r="R184" s="464">
        <v>3.3610000000000002</v>
      </c>
      <c r="S184" s="463">
        <f t="shared" si="26"/>
        <v>100255.269</v>
      </c>
      <c r="T184" s="397" t="s">
        <v>256</v>
      </c>
    </row>
    <row r="185" spans="1:20" ht="15" hidden="1" x14ac:dyDescent="0.25">
      <c r="A185" s="398" t="s">
        <v>1718</v>
      </c>
      <c r="B185" s="398"/>
      <c r="C185" s="400" t="str">
        <f>+IFERROR(INDEX([4]IMPORTS!$E:$E,MATCH($A185,[4]IMPORTS!$C:$C,0)),"")</f>
        <v>NITRATO DE MAGNESIO HEXAHIDRATADO</v>
      </c>
      <c r="D185" s="400" t="str">
        <f>+IFERROR(INDEX([4]IMPORTS!$F:$F,MATCH($A185,[4]IMPORTS!$C:$C,0)),"")</f>
        <v>AGRIFERT</v>
      </c>
      <c r="E185" s="465" t="str">
        <f>+IFERROR(INDEX([4]IMPORTS!$AF:$AF,MATCH($A185,[4]IMPORTS!$C:$C,0)),"")</f>
        <v>CALLAO</v>
      </c>
      <c r="F185" s="408">
        <f>+IFERROR(INDEX([4]IMPORTS!$Y:$Y,MATCH($A185,[4]IMPORTS!$C:$C,0)),"")</f>
        <v>44071</v>
      </c>
      <c r="G185" s="408">
        <f t="shared" si="23"/>
        <v>44069</v>
      </c>
      <c r="H185" s="402">
        <f>+IFERROR(INDEX([4]IMPORTS!$P:$P,MATCH($A185,[4]IMPORTS!$C:$C,0)),"")</f>
        <v>450</v>
      </c>
      <c r="I185" s="408" t="str">
        <f>+IFERROR(INDEX([4]IMPORTS!$R:$R,MATCH($A185,[4]IMPORTS!$C:$C,0)),"")</f>
        <v>CFR</v>
      </c>
      <c r="J185" s="409">
        <f>+IFERROR(INDEX([4]IMPORTS!$S:$S,MATCH($A185,[4]IMPORTS!$C:$C,0)),"")</f>
        <v>228</v>
      </c>
      <c r="K185" s="403">
        <f t="shared" si="24"/>
        <v>102600</v>
      </c>
      <c r="L185" s="403">
        <f t="shared" ref="L185:L248" si="32">+K185*0.11%</f>
        <v>112.86000000000001</v>
      </c>
      <c r="M185" s="403">
        <f t="shared" ref="M185:M248" si="33">+K185+L185</f>
        <v>102712.86</v>
      </c>
      <c r="N185" s="404">
        <f t="shared" ref="N185:N248" si="34">ROUND(M185*2%,0)</f>
        <v>2054</v>
      </c>
      <c r="O185" s="404">
        <f t="shared" ref="O185:O248" si="35">ROUND(M185*16%,0)</f>
        <v>16434</v>
      </c>
      <c r="P185" s="404">
        <f t="shared" ref="P185:P248" si="36">ROUND((M185+N185+O185)*3.5%,0)</f>
        <v>4242</v>
      </c>
      <c r="Q185" s="463">
        <f t="shared" si="25"/>
        <v>22730</v>
      </c>
      <c r="R185" s="464">
        <v>3.3610000000000002</v>
      </c>
      <c r="S185" s="463">
        <f t="shared" si="26"/>
        <v>76395.53</v>
      </c>
      <c r="T185" s="397" t="s">
        <v>256</v>
      </c>
    </row>
    <row r="186" spans="1:20" ht="15" hidden="1" x14ac:dyDescent="0.25">
      <c r="A186" s="398" t="s">
        <v>1764</v>
      </c>
      <c r="B186" s="398"/>
      <c r="C186" s="400" t="str">
        <f>+IFERROR(INDEX([4]IMPORTS!$E:$E,MATCH($A186,[4]IMPORTS!$C:$C,0)),"")</f>
        <v>YARATERA CALCINIT X 25KG</v>
      </c>
      <c r="D186" s="400" t="str">
        <f>+IFERROR(INDEX([4]IMPORTS!$F:$F,MATCH($A186,[4]IMPORTS!$C:$C,0)),"")</f>
        <v>YARA PERÚ SRL</v>
      </c>
      <c r="E186" s="465" t="str">
        <f>+IFERROR(INDEX([4]IMPORTS!$AF:$AF,MATCH($A186,[4]IMPORTS!$C:$C,0)),"")</f>
        <v>CALLAO</v>
      </c>
      <c r="F186" s="408">
        <f>+IFERROR(INDEX([4]IMPORTS!$Y:$Y,MATCH($A186,[4]IMPORTS!$C:$C,0)),"")</f>
        <v>44020</v>
      </c>
      <c r="G186" s="408">
        <f t="shared" si="23"/>
        <v>44018</v>
      </c>
      <c r="H186" s="402">
        <f>+IFERROR(INDEX([4]IMPORTS!$P:$P,MATCH($A186,[4]IMPORTS!$C:$C,0)),"")</f>
        <v>500</v>
      </c>
      <c r="I186" s="408" t="str">
        <f>+IFERROR(INDEX([4]IMPORTS!$R:$R,MATCH($A186,[4]IMPORTS!$C:$C,0)),"")</f>
        <v>CFR</v>
      </c>
      <c r="J186" s="409">
        <f>+IFERROR(INDEX([4]IMPORTS!$S:$S,MATCH($A186,[4]IMPORTS!$C:$C,0)),"")</f>
        <v>220.34</v>
      </c>
      <c r="K186" s="403">
        <f t="shared" si="24"/>
        <v>110170</v>
      </c>
      <c r="L186" s="403">
        <f t="shared" si="32"/>
        <v>121.18700000000001</v>
      </c>
      <c r="M186" s="403">
        <f t="shared" si="33"/>
        <v>110291.18700000001</v>
      </c>
      <c r="N186" s="404">
        <f t="shared" si="34"/>
        <v>2206</v>
      </c>
      <c r="O186" s="404">
        <f t="shared" si="35"/>
        <v>17647</v>
      </c>
      <c r="P186" s="404">
        <f t="shared" si="36"/>
        <v>4555</v>
      </c>
      <c r="Q186" s="463">
        <f t="shared" si="25"/>
        <v>24408</v>
      </c>
      <c r="R186" s="464">
        <v>3.3610000000000002</v>
      </c>
      <c r="S186" s="463">
        <f t="shared" si="26"/>
        <v>82035.288</v>
      </c>
      <c r="T186" s="397" t="s">
        <v>256</v>
      </c>
    </row>
    <row r="187" spans="1:20" ht="15" hidden="1" x14ac:dyDescent="0.25">
      <c r="A187" s="398" t="s">
        <v>1777</v>
      </c>
      <c r="B187" s="398"/>
      <c r="C187" s="400" t="str">
        <f>+IFERROR(INDEX([4]IMPORTS!$E:$E,MATCH($A187,[4]IMPORTS!$C:$C,0)),"")</f>
        <v>YARALIVA NITRABOR A GRANEL</v>
      </c>
      <c r="D187" s="400" t="str">
        <f>+IFERROR(INDEX([4]IMPORTS!$F:$F,MATCH($A187,[4]IMPORTS!$C:$C,0)),"")</f>
        <v>YARA PERÚ SRL</v>
      </c>
      <c r="E187" s="465" t="str">
        <f>+IFERROR(INDEX([4]IMPORTS!$AF:$AF,MATCH($A187,[4]IMPORTS!$C:$C,0)),"")</f>
        <v>CALLAO</v>
      </c>
      <c r="F187" s="408">
        <f>+IFERROR(INDEX([4]IMPORTS!$Y:$Y,MATCH($A187,[4]IMPORTS!$C:$C,0)),"")</f>
        <v>44043</v>
      </c>
      <c r="G187" s="408">
        <f t="shared" si="23"/>
        <v>44041</v>
      </c>
      <c r="H187" s="402">
        <f>+IFERROR(INDEX([4]IMPORTS!$P:$P,MATCH($A187,[4]IMPORTS!$C:$C,0)),"")</f>
        <v>240.13499999999999</v>
      </c>
      <c r="I187" s="408" t="str">
        <f>+IFERROR(INDEX([4]IMPORTS!$R:$R,MATCH($A187,[4]IMPORTS!$C:$C,0)),"")</f>
        <v>CFR</v>
      </c>
      <c r="J187" s="409">
        <f>+IFERROR(INDEX([4]IMPORTS!$S:$S,MATCH($A187,[4]IMPORTS!$C:$C,0)),"")</f>
        <v>288</v>
      </c>
      <c r="K187" s="403">
        <f t="shared" si="24"/>
        <v>69158.880000000005</v>
      </c>
      <c r="L187" s="403">
        <f t="shared" si="32"/>
        <v>76.074768000000006</v>
      </c>
      <c r="M187" s="403">
        <f t="shared" si="33"/>
        <v>69234.954768000011</v>
      </c>
      <c r="N187" s="404">
        <f t="shared" si="34"/>
        <v>1385</v>
      </c>
      <c r="O187" s="404">
        <f t="shared" si="35"/>
        <v>11078</v>
      </c>
      <c r="P187" s="404">
        <f t="shared" si="36"/>
        <v>2859</v>
      </c>
      <c r="Q187" s="463">
        <f t="shared" si="25"/>
        <v>15322</v>
      </c>
      <c r="R187" s="464">
        <v>3.3610000000000002</v>
      </c>
      <c r="S187" s="463">
        <f t="shared" si="26"/>
        <v>51497.242000000006</v>
      </c>
      <c r="T187" s="397" t="s">
        <v>256</v>
      </c>
    </row>
    <row r="188" spans="1:20" ht="15" hidden="1" x14ac:dyDescent="0.25">
      <c r="A188" s="398" t="s">
        <v>1778</v>
      </c>
      <c r="B188" s="398"/>
      <c r="C188" s="400" t="str">
        <f>+IFERROR(INDEX([4]IMPORTS!$E:$E,MATCH($A188,[4]IMPORTS!$C:$C,0)),"")</f>
        <v>YARALIVA NITRABOR A GRANEL</v>
      </c>
      <c r="D188" s="400" t="str">
        <f>+IFERROR(INDEX([4]IMPORTS!$F:$F,MATCH($A188,[4]IMPORTS!$C:$C,0)),"")</f>
        <v>YARA PERÚ SRL</v>
      </c>
      <c r="E188" s="465" t="str">
        <f>+IFERROR(INDEX([4]IMPORTS!$AF:$AF,MATCH($A188,[4]IMPORTS!$C:$C,0)),"")</f>
        <v>PAITA</v>
      </c>
      <c r="F188" s="408">
        <f>+IFERROR(INDEX([4]IMPORTS!$Y:$Y,MATCH($A188,[4]IMPORTS!$C:$C,0)),"")</f>
        <v>44041</v>
      </c>
      <c r="G188" s="408">
        <f t="shared" si="23"/>
        <v>44039</v>
      </c>
      <c r="H188" s="402">
        <f>+IFERROR(INDEX([4]IMPORTS!$P:$P,MATCH($A188,[4]IMPORTS!$C:$C,0)),"")</f>
        <v>425.06</v>
      </c>
      <c r="I188" s="408" t="str">
        <f>+IFERROR(INDEX([4]IMPORTS!$R:$R,MATCH($A188,[4]IMPORTS!$C:$C,0)),"")</f>
        <v>CFR</v>
      </c>
      <c r="J188" s="409">
        <f>+IFERROR(INDEX([4]IMPORTS!$S:$S,MATCH($A188,[4]IMPORTS!$C:$C,0)),"")</f>
        <v>288</v>
      </c>
      <c r="K188" s="403">
        <f t="shared" si="24"/>
        <v>122417.28</v>
      </c>
      <c r="L188" s="403">
        <f t="shared" si="32"/>
        <v>134.659008</v>
      </c>
      <c r="M188" s="403">
        <f t="shared" si="33"/>
        <v>122551.939008</v>
      </c>
      <c r="N188" s="404">
        <f t="shared" si="34"/>
        <v>2451</v>
      </c>
      <c r="O188" s="404">
        <f t="shared" si="35"/>
        <v>19608</v>
      </c>
      <c r="P188" s="404">
        <f t="shared" si="36"/>
        <v>5061</v>
      </c>
      <c r="Q188" s="463">
        <f t="shared" si="25"/>
        <v>27120</v>
      </c>
      <c r="R188" s="464">
        <v>3.3610000000000002</v>
      </c>
      <c r="S188" s="463">
        <f t="shared" si="26"/>
        <v>91150.32</v>
      </c>
      <c r="T188" s="397" t="s">
        <v>256</v>
      </c>
    </row>
    <row r="189" spans="1:20" ht="15" hidden="1" x14ac:dyDescent="0.25">
      <c r="A189" s="398" t="s">
        <v>1694</v>
      </c>
      <c r="B189" s="398"/>
      <c r="C189" s="400" t="str">
        <f>+IFERROR(INDEX([4]IMPORTS!$E:$E,MATCH($A189,[4]IMPORTS!$C:$C,0)),"")</f>
        <v>SULFATO DE ZINC HEPTAHIDRATADO</v>
      </c>
      <c r="D189" s="400" t="str">
        <f>+IFERROR(INDEX([4]IMPORTS!$F:$F,MATCH($A189,[4]IMPORTS!$C:$C,0)),"")</f>
        <v>STAR GRACE MINING CO.,LTD</v>
      </c>
      <c r="E189" s="465" t="str">
        <f>+IFERROR(INDEX([4]IMPORTS!$AF:$AF,MATCH($A189,[4]IMPORTS!$C:$C,0)),"")</f>
        <v>CALLAO</v>
      </c>
      <c r="F189" s="408">
        <f>+IFERROR(INDEX([4]IMPORTS!$Y:$Y,MATCH($A189,[4]IMPORTS!$C:$C,0)),"")</f>
        <v>44086</v>
      </c>
      <c r="G189" s="408">
        <f t="shared" si="23"/>
        <v>44084</v>
      </c>
      <c r="H189" s="402">
        <f>+IFERROR(INDEX([4]IMPORTS!$P:$P,MATCH($A189,[4]IMPORTS!$C:$C,0)),"")</f>
        <v>300</v>
      </c>
      <c r="I189" s="408" t="str">
        <f>+IFERROR(INDEX([4]IMPORTS!$R:$R,MATCH($A189,[4]IMPORTS!$C:$C,0)),"")</f>
        <v>CFR</v>
      </c>
      <c r="J189" s="409">
        <f>+IFERROR(INDEX([4]IMPORTS!$S:$S,MATCH($A189,[4]IMPORTS!$C:$C,0)),"")</f>
        <v>436</v>
      </c>
      <c r="K189" s="403">
        <f t="shared" si="24"/>
        <v>130800</v>
      </c>
      <c r="L189" s="403">
        <f t="shared" si="32"/>
        <v>143.88</v>
      </c>
      <c r="M189" s="403">
        <f t="shared" si="33"/>
        <v>130943.88</v>
      </c>
      <c r="N189" s="404">
        <f t="shared" si="34"/>
        <v>2619</v>
      </c>
      <c r="O189" s="404">
        <f t="shared" si="35"/>
        <v>20951</v>
      </c>
      <c r="P189" s="404">
        <f t="shared" si="36"/>
        <v>5408</v>
      </c>
      <c r="Q189" s="463">
        <f t="shared" si="25"/>
        <v>28978</v>
      </c>
      <c r="R189" s="464">
        <v>3.3610000000000002</v>
      </c>
      <c r="S189" s="463">
        <f t="shared" si="26"/>
        <v>97395.058000000005</v>
      </c>
      <c r="T189" s="397" t="s">
        <v>256</v>
      </c>
    </row>
    <row r="190" spans="1:20" ht="15" hidden="1" x14ac:dyDescent="0.25">
      <c r="A190" s="398" t="s">
        <v>1753</v>
      </c>
      <c r="B190" s="398"/>
      <c r="C190" s="400" t="str">
        <f>+IFERROR(INDEX([4]IMPORTS!$E:$E,MATCH($A190,[4]IMPORTS!$C:$C,0)),"")</f>
        <v>YARATERA REXOLIN X60 X5KG</v>
      </c>
      <c r="D190" s="400" t="str">
        <f>+IFERROR(INDEX([4]IMPORTS!$F:$F,MATCH($A190,[4]IMPORTS!$C:$C,0)),"")</f>
        <v>YARA PERÚ SRL</v>
      </c>
      <c r="E190" s="465" t="str">
        <f>+IFERROR(INDEX([4]IMPORTS!$AF:$AF,MATCH($A190,[4]IMPORTS!$C:$C,0)),"")</f>
        <v>PAITA</v>
      </c>
      <c r="F190" s="408">
        <f>+IFERROR(INDEX([4]IMPORTS!$Y:$Y,MATCH($A190,[4]IMPORTS!$C:$C,0)),"")</f>
        <v>44055</v>
      </c>
      <c r="G190" s="408">
        <f t="shared" si="23"/>
        <v>44053</v>
      </c>
      <c r="H190" s="402">
        <f>+IFERROR(INDEX([4]IMPORTS!$P:$P,MATCH($A190,[4]IMPORTS!$C:$C,0)),"")</f>
        <v>16</v>
      </c>
      <c r="I190" s="408" t="str">
        <f>+IFERROR(INDEX([4]IMPORTS!$R:$R,MATCH($A190,[4]IMPORTS!$C:$C,0)),"")</f>
        <v>CFR</v>
      </c>
      <c r="J190" s="409">
        <f>+IFERROR(INDEX([4]IMPORTS!$S:$S,MATCH($A190,[4]IMPORTS!$C:$C,0)),"")</f>
        <v>9560</v>
      </c>
      <c r="K190" s="403">
        <f t="shared" si="24"/>
        <v>152960</v>
      </c>
      <c r="L190" s="403">
        <f t="shared" si="32"/>
        <v>168.256</v>
      </c>
      <c r="M190" s="403">
        <f t="shared" si="33"/>
        <v>153128.25599999999</v>
      </c>
      <c r="N190" s="404">
        <f t="shared" si="34"/>
        <v>3063</v>
      </c>
      <c r="O190" s="404">
        <f t="shared" si="35"/>
        <v>24501</v>
      </c>
      <c r="P190" s="404">
        <f t="shared" si="36"/>
        <v>6324</v>
      </c>
      <c r="Q190" s="463">
        <f t="shared" si="25"/>
        <v>33888</v>
      </c>
      <c r="R190" s="464">
        <v>3.3610000000000002</v>
      </c>
      <c r="S190" s="463">
        <f t="shared" si="26"/>
        <v>113897.56800000001</v>
      </c>
      <c r="T190" s="397" t="s">
        <v>256</v>
      </c>
    </row>
    <row r="191" spans="1:20" ht="15" hidden="1" x14ac:dyDescent="0.25">
      <c r="A191" s="398" t="s">
        <v>1860</v>
      </c>
      <c r="B191" s="398"/>
      <c r="C191" s="400" t="str">
        <f>+IFERROR(INDEX([4]IMPORTS!$E:$E,MATCH($A191,[4]IMPORTS!$C:$C,0)),"")</f>
        <v>ÁCIDO FOSFÓRICO</v>
      </c>
      <c r="D191" s="400" t="str">
        <f>+IFERROR(INDEX([4]IMPORTS!$F:$F,MATCH($A191,[4]IMPORTS!$C:$C,0)),"")</f>
        <v>MITSUI &amp; CO., Ltda</v>
      </c>
      <c r="E191" s="465" t="str">
        <f>+IFERROR(INDEX([4]IMPORTS!$AF:$AF,MATCH($A191,[4]IMPORTS!$C:$C,0)),"")</f>
        <v>CALLAO</v>
      </c>
      <c r="F191" s="408">
        <f>+IFERROR(INDEX([4]IMPORTS!$Y:$Y,MATCH($A191,[4]IMPORTS!$C:$C,0)),"")</f>
        <v>44080</v>
      </c>
      <c r="G191" s="408">
        <f t="shared" si="23"/>
        <v>44078</v>
      </c>
      <c r="H191" s="402">
        <f>+IFERROR(INDEX([4]IMPORTS!$P:$P,MATCH($A191,[4]IMPORTS!$C:$C,0)),"")</f>
        <v>292.60000000000002</v>
      </c>
      <c r="I191" s="408" t="str">
        <f>+IFERROR(INDEX([4]IMPORTS!$R:$R,MATCH($A191,[4]IMPORTS!$C:$C,0)),"")</f>
        <v>CFR</v>
      </c>
      <c r="J191" s="409">
        <f>+IFERROR(INDEX([4]IMPORTS!$S:$S,MATCH($A191,[4]IMPORTS!$C:$C,0)),"")</f>
        <v>837</v>
      </c>
      <c r="K191" s="403">
        <f t="shared" si="24"/>
        <v>244906.2</v>
      </c>
      <c r="L191" s="403">
        <f t="shared" si="32"/>
        <v>269.39682000000005</v>
      </c>
      <c r="M191" s="403">
        <f t="shared" si="33"/>
        <v>245175.59682000001</v>
      </c>
      <c r="N191" s="404">
        <f t="shared" si="34"/>
        <v>4904</v>
      </c>
      <c r="O191" s="404">
        <f t="shared" si="35"/>
        <v>39228</v>
      </c>
      <c r="P191" s="404">
        <f t="shared" si="36"/>
        <v>10126</v>
      </c>
      <c r="Q191" s="463">
        <f t="shared" si="25"/>
        <v>54258</v>
      </c>
      <c r="R191" s="464">
        <v>3.3610000000000002</v>
      </c>
      <c r="S191" s="463">
        <f t="shared" si="26"/>
        <v>182361.13800000001</v>
      </c>
      <c r="T191" s="397" t="s">
        <v>256</v>
      </c>
    </row>
    <row r="192" spans="1:20" ht="15" hidden="1" x14ac:dyDescent="0.25">
      <c r="A192" s="398" t="s">
        <v>1819</v>
      </c>
      <c r="B192" s="398"/>
      <c r="C192" s="400" t="str">
        <f>+IFERROR(INDEX([4]IMPORTS!$E:$E,MATCH($A192,[4]IMPORTS!$C:$C,0)),"")</f>
        <v>POTASHPLUS A GRANEL</v>
      </c>
      <c r="D192" s="400" t="str">
        <f>+IFERROR(INDEX([4]IMPORTS!$F:$F,MATCH($A192,[4]IMPORTS!$C:$C,0)),"")</f>
        <v>ICL EUROPE COOPERATIEF U.A.</v>
      </c>
      <c r="E192" s="465" t="str">
        <f>+IFERROR(INDEX([4]IMPORTS!$AF:$AF,MATCH($A192,[4]IMPORTS!$C:$C,0)),"")</f>
        <v>CALLAO</v>
      </c>
      <c r="F192" s="408">
        <f>+IFERROR(INDEX([4]IMPORTS!$Y:$Y,MATCH($A192,[4]IMPORTS!$C:$C,0)),"")</f>
        <v>44064</v>
      </c>
      <c r="G192" s="408">
        <f t="shared" si="23"/>
        <v>44062</v>
      </c>
      <c r="H192" s="402">
        <f>+IFERROR(INDEX([4]IMPORTS!$P:$P,MATCH($A192,[4]IMPORTS!$C:$C,0)),"")</f>
        <v>167.8</v>
      </c>
      <c r="I192" s="408" t="str">
        <f>+IFERROR(INDEX([4]IMPORTS!$R:$R,MATCH($A192,[4]IMPORTS!$C:$C,0)),"")</f>
        <v>CFR</v>
      </c>
      <c r="J192" s="409">
        <f>+IFERROR(INDEX([4]IMPORTS!$S:$S,MATCH($A192,[4]IMPORTS!$C:$C,0)),"")</f>
        <v>235</v>
      </c>
      <c r="K192" s="403">
        <f t="shared" si="24"/>
        <v>39433</v>
      </c>
      <c r="L192" s="403">
        <f t="shared" si="32"/>
        <v>43.376300000000001</v>
      </c>
      <c r="M192" s="403">
        <f t="shared" si="33"/>
        <v>39476.376300000004</v>
      </c>
      <c r="N192" s="404">
        <f t="shared" si="34"/>
        <v>790</v>
      </c>
      <c r="O192" s="404">
        <f t="shared" si="35"/>
        <v>6316</v>
      </c>
      <c r="P192" s="404">
        <f t="shared" si="36"/>
        <v>1630</v>
      </c>
      <c r="Q192" s="463">
        <f t="shared" si="25"/>
        <v>8736</v>
      </c>
      <c r="R192" s="464">
        <v>3.3610000000000002</v>
      </c>
      <c r="S192" s="463">
        <f t="shared" si="26"/>
        <v>29361.696000000004</v>
      </c>
      <c r="T192" s="397" t="s">
        <v>256</v>
      </c>
    </row>
    <row r="193" spans="1:20" ht="15" hidden="1" x14ac:dyDescent="0.25">
      <c r="A193" s="398" t="s">
        <v>1820</v>
      </c>
      <c r="B193" s="398"/>
      <c r="C193" s="400" t="str">
        <f>+IFERROR(INDEX([4]IMPORTS!$E:$E,MATCH($A193,[4]IMPORTS!$C:$C,0)),"")</f>
        <v>POTASHPLUS A GRANEL</v>
      </c>
      <c r="D193" s="400" t="str">
        <f>+IFERROR(INDEX([4]IMPORTS!$F:$F,MATCH($A193,[4]IMPORTS!$C:$C,0)),"")</f>
        <v>ICL EUROPE COOPERATIEF U.A.</v>
      </c>
      <c r="E193" s="465" t="str">
        <f>+IFERROR(INDEX([4]IMPORTS!$AF:$AF,MATCH($A193,[4]IMPORTS!$C:$C,0)),"")</f>
        <v>PAITA</v>
      </c>
      <c r="F193" s="408">
        <f>+IFERROR(INDEX([4]IMPORTS!$Y:$Y,MATCH($A193,[4]IMPORTS!$C:$C,0)),"")</f>
        <v>44071</v>
      </c>
      <c r="G193" s="408">
        <f t="shared" si="23"/>
        <v>44069</v>
      </c>
      <c r="H193" s="402">
        <f>+IFERROR(INDEX([4]IMPORTS!$P:$P,MATCH($A193,[4]IMPORTS!$C:$C,0)),"")</f>
        <v>251.5</v>
      </c>
      <c r="I193" s="408" t="str">
        <f>+IFERROR(INDEX([4]IMPORTS!$R:$R,MATCH($A193,[4]IMPORTS!$C:$C,0)),"")</f>
        <v>CFR</v>
      </c>
      <c r="J193" s="409">
        <f>+IFERROR(INDEX([4]IMPORTS!$S:$S,MATCH($A193,[4]IMPORTS!$C:$C,0)),"")</f>
        <v>235</v>
      </c>
      <c r="K193" s="403">
        <f t="shared" si="24"/>
        <v>59102.5</v>
      </c>
      <c r="L193" s="403">
        <f t="shared" si="32"/>
        <v>65.012749999999997</v>
      </c>
      <c r="M193" s="403">
        <f t="shared" si="33"/>
        <v>59167.512750000002</v>
      </c>
      <c r="N193" s="404">
        <f t="shared" si="34"/>
        <v>1183</v>
      </c>
      <c r="O193" s="404">
        <f t="shared" si="35"/>
        <v>9467</v>
      </c>
      <c r="P193" s="404">
        <f t="shared" si="36"/>
        <v>2444</v>
      </c>
      <c r="Q193" s="463">
        <f t="shared" si="25"/>
        <v>13094</v>
      </c>
      <c r="R193" s="464">
        <v>3.3610000000000002</v>
      </c>
      <c r="S193" s="463">
        <f t="shared" si="26"/>
        <v>44008.934000000001</v>
      </c>
      <c r="T193" s="397" t="s">
        <v>256</v>
      </c>
    </row>
    <row r="194" spans="1:20" ht="15" hidden="1" x14ac:dyDescent="0.25">
      <c r="A194" s="398" t="s">
        <v>1867</v>
      </c>
      <c r="B194" s="398"/>
      <c r="C194" s="400" t="str">
        <f>+IFERROR(INDEX([4]IMPORTS!$E:$E,MATCH($A194,[4]IMPORTS!$C:$C,0)),"")</f>
        <v>YARATERA CALCINIT X 25KG</v>
      </c>
      <c r="D194" s="400" t="str">
        <f>+IFERROR(INDEX([4]IMPORTS!$F:$F,MATCH($A194,[4]IMPORTS!$C:$C,0)),"")</f>
        <v>YARA PERÚ SRL</v>
      </c>
      <c r="E194" s="465" t="str">
        <f>+IFERROR(INDEX([4]IMPORTS!$AF:$AF,MATCH($A194,[4]IMPORTS!$C:$C,0)),"")</f>
        <v>CALLAO</v>
      </c>
      <c r="F194" s="408">
        <f>+IFERROR(INDEX([4]IMPORTS!$Y:$Y,MATCH($A194,[4]IMPORTS!$C:$C,0)),"")</f>
        <v>44050</v>
      </c>
      <c r="G194" s="408">
        <f t="shared" ref="G194:G257" si="37">+F194-2</f>
        <v>44048</v>
      </c>
      <c r="H194" s="402">
        <f>+IFERROR(INDEX([4]IMPORTS!$P:$P,MATCH($A194,[4]IMPORTS!$C:$C,0)),"")</f>
        <v>625</v>
      </c>
      <c r="I194" s="408" t="str">
        <f>+IFERROR(INDEX([4]IMPORTS!$R:$R,MATCH($A194,[4]IMPORTS!$C:$C,0)),"")</f>
        <v>CFR</v>
      </c>
      <c r="J194" s="409">
        <f>+IFERROR(INDEX([4]IMPORTS!$S:$S,MATCH($A194,[4]IMPORTS!$C:$C,0)),"")</f>
        <v>220.34</v>
      </c>
      <c r="K194" s="403">
        <f t="shared" ref="K194:K257" si="38">+H194*J194</f>
        <v>137712.5</v>
      </c>
      <c r="L194" s="403">
        <f t="shared" si="32"/>
        <v>151.48375000000001</v>
      </c>
      <c r="M194" s="403">
        <f t="shared" si="33"/>
        <v>137863.98375000001</v>
      </c>
      <c r="N194" s="404">
        <f t="shared" si="34"/>
        <v>2757</v>
      </c>
      <c r="O194" s="404">
        <f t="shared" si="35"/>
        <v>22058</v>
      </c>
      <c r="P194" s="404">
        <f t="shared" si="36"/>
        <v>5694</v>
      </c>
      <c r="Q194" s="463">
        <f t="shared" ref="Q194:Q257" si="39">N194+O194+P194</f>
        <v>30509</v>
      </c>
      <c r="R194" s="464">
        <v>3.3610000000000002</v>
      </c>
      <c r="S194" s="463">
        <f t="shared" ref="S194:S257" si="40">Q194*R194</f>
        <v>102540.74900000001</v>
      </c>
      <c r="T194" s="397" t="s">
        <v>256</v>
      </c>
    </row>
    <row r="195" spans="1:20" ht="15" hidden="1" x14ac:dyDescent="0.25">
      <c r="A195" s="398" t="s">
        <v>1868</v>
      </c>
      <c r="B195" s="398"/>
      <c r="C195" s="400" t="str">
        <f>+IFERROR(INDEX([4]IMPORTS!$E:$E,MATCH($A195,[4]IMPORTS!$C:$C,0)),"")</f>
        <v>YARATERA CALCINIT X 25KG</v>
      </c>
      <c r="D195" s="400" t="str">
        <f>+IFERROR(INDEX([4]IMPORTS!$F:$F,MATCH($A195,[4]IMPORTS!$C:$C,0)),"")</f>
        <v>YARA PERÚ SRL</v>
      </c>
      <c r="E195" s="465" t="str">
        <f>+IFERROR(INDEX([4]IMPORTS!$AF:$AF,MATCH($A195,[4]IMPORTS!$C:$C,0)),"")</f>
        <v>CALLAO</v>
      </c>
      <c r="F195" s="408">
        <f>+IFERROR(INDEX([4]IMPORTS!$Y:$Y,MATCH($A195,[4]IMPORTS!$C:$C,0)),"")</f>
        <v>44050</v>
      </c>
      <c r="G195" s="408">
        <f t="shared" si="37"/>
        <v>44048</v>
      </c>
      <c r="H195" s="402">
        <f>+IFERROR(INDEX([4]IMPORTS!$P:$P,MATCH($A195,[4]IMPORTS!$C:$C,0)),"")</f>
        <v>625</v>
      </c>
      <c r="I195" s="408" t="str">
        <f>+IFERROR(INDEX([4]IMPORTS!$R:$R,MATCH($A195,[4]IMPORTS!$C:$C,0)),"")</f>
        <v>CFR</v>
      </c>
      <c r="J195" s="409">
        <f>+IFERROR(INDEX([4]IMPORTS!$S:$S,MATCH($A195,[4]IMPORTS!$C:$C,0)),"")</f>
        <v>220.34</v>
      </c>
      <c r="K195" s="403">
        <f t="shared" si="38"/>
        <v>137712.5</v>
      </c>
      <c r="L195" s="403">
        <f t="shared" si="32"/>
        <v>151.48375000000001</v>
      </c>
      <c r="M195" s="403">
        <f t="shared" si="33"/>
        <v>137863.98375000001</v>
      </c>
      <c r="N195" s="404">
        <f t="shared" si="34"/>
        <v>2757</v>
      </c>
      <c r="O195" s="404">
        <f t="shared" si="35"/>
        <v>22058</v>
      </c>
      <c r="P195" s="404">
        <f t="shared" si="36"/>
        <v>5694</v>
      </c>
      <c r="Q195" s="463">
        <f t="shared" si="39"/>
        <v>30509</v>
      </c>
      <c r="R195" s="464">
        <v>3.3610000000000002</v>
      </c>
      <c r="S195" s="463">
        <f t="shared" si="40"/>
        <v>102540.74900000001</v>
      </c>
      <c r="T195" s="397" t="s">
        <v>256</v>
      </c>
    </row>
    <row r="196" spans="1:20" ht="15" hidden="1" x14ac:dyDescent="0.25">
      <c r="A196" s="398" t="s">
        <v>1869</v>
      </c>
      <c r="B196" s="398"/>
      <c r="C196" s="400" t="str">
        <f>+IFERROR(INDEX([4]IMPORTS!$E:$E,MATCH($A196,[4]IMPORTS!$C:$C,0)),"")</f>
        <v>YARATERA CALCINIT X 25KG</v>
      </c>
      <c r="D196" s="400" t="str">
        <f>+IFERROR(INDEX([4]IMPORTS!$F:$F,MATCH($A196,[4]IMPORTS!$C:$C,0)),"")</f>
        <v>YARA PERÚ SRL</v>
      </c>
      <c r="E196" s="465" t="str">
        <f>+IFERROR(INDEX([4]IMPORTS!$AF:$AF,MATCH($A196,[4]IMPORTS!$C:$C,0)),"")</f>
        <v>CALLAO</v>
      </c>
      <c r="F196" s="408">
        <f>+IFERROR(INDEX([4]IMPORTS!$Y:$Y,MATCH($A196,[4]IMPORTS!$C:$C,0)),"")</f>
        <v>44050</v>
      </c>
      <c r="G196" s="408">
        <f t="shared" si="37"/>
        <v>44048</v>
      </c>
      <c r="H196" s="402">
        <f>+IFERROR(INDEX([4]IMPORTS!$P:$P,MATCH($A196,[4]IMPORTS!$C:$C,0)),"")</f>
        <v>600</v>
      </c>
      <c r="I196" s="408" t="str">
        <f>+IFERROR(INDEX([4]IMPORTS!$R:$R,MATCH($A196,[4]IMPORTS!$C:$C,0)),"")</f>
        <v>CFR</v>
      </c>
      <c r="J196" s="409">
        <f>+IFERROR(INDEX([4]IMPORTS!$S:$S,MATCH($A196,[4]IMPORTS!$C:$C,0)),"")</f>
        <v>220.34</v>
      </c>
      <c r="K196" s="403">
        <f t="shared" si="38"/>
        <v>132204</v>
      </c>
      <c r="L196" s="403">
        <f t="shared" si="32"/>
        <v>145.42440000000002</v>
      </c>
      <c r="M196" s="403">
        <f t="shared" si="33"/>
        <v>132349.42439999999</v>
      </c>
      <c r="N196" s="404">
        <f t="shared" si="34"/>
        <v>2647</v>
      </c>
      <c r="O196" s="404">
        <f t="shared" si="35"/>
        <v>21176</v>
      </c>
      <c r="P196" s="404">
        <f t="shared" si="36"/>
        <v>5466</v>
      </c>
      <c r="Q196" s="463">
        <f t="shared" si="39"/>
        <v>29289</v>
      </c>
      <c r="R196" s="464">
        <v>3.3610000000000002</v>
      </c>
      <c r="S196" s="463">
        <f t="shared" si="40"/>
        <v>98440.329000000012</v>
      </c>
      <c r="T196" s="397" t="s">
        <v>256</v>
      </c>
    </row>
    <row r="197" spans="1:20" ht="15" hidden="1" x14ac:dyDescent="0.25">
      <c r="A197" s="398" t="s">
        <v>1719</v>
      </c>
      <c r="B197" s="398"/>
      <c r="C197" s="400" t="str">
        <f>+IFERROR(INDEX([4]IMPORTS!$E:$E,MATCH($A197,[4]IMPORTS!$C:$C,0)),"")</f>
        <v>NITRATO DE MAGNESIO HEXAHIDRATADO</v>
      </c>
      <c r="D197" s="400" t="str">
        <f>+IFERROR(INDEX([4]IMPORTS!$F:$F,MATCH($A197,[4]IMPORTS!$C:$C,0)),"")</f>
        <v>AGRIFERT</v>
      </c>
      <c r="E197" s="465" t="str">
        <f>+IFERROR(INDEX([4]IMPORTS!$AF:$AF,MATCH($A197,[4]IMPORTS!$C:$C,0)),"")</f>
        <v>PAITA</v>
      </c>
      <c r="F197" s="408">
        <f>+IFERROR(INDEX([4]IMPORTS!$Y:$Y,MATCH($A197,[4]IMPORTS!$C:$C,0)),"")</f>
        <v>44114</v>
      </c>
      <c r="G197" s="408">
        <f t="shared" si="37"/>
        <v>44112</v>
      </c>
      <c r="H197" s="402">
        <f>+IFERROR(INDEX([4]IMPORTS!$P:$P,MATCH($A197,[4]IMPORTS!$C:$C,0)),"")</f>
        <v>150</v>
      </c>
      <c r="I197" s="408" t="str">
        <f>+IFERROR(INDEX([4]IMPORTS!$R:$R,MATCH($A197,[4]IMPORTS!$C:$C,0)),"")</f>
        <v>CFR</v>
      </c>
      <c r="J197" s="409">
        <f>+IFERROR(INDEX([4]IMPORTS!$S:$S,MATCH($A197,[4]IMPORTS!$C:$C,0)),"")</f>
        <v>244</v>
      </c>
      <c r="K197" s="403">
        <f t="shared" si="38"/>
        <v>36600</v>
      </c>
      <c r="L197" s="403">
        <f t="shared" si="32"/>
        <v>40.260000000000005</v>
      </c>
      <c r="M197" s="403">
        <f t="shared" si="33"/>
        <v>36640.26</v>
      </c>
      <c r="N197" s="404">
        <f t="shared" si="34"/>
        <v>733</v>
      </c>
      <c r="O197" s="404">
        <f t="shared" si="35"/>
        <v>5862</v>
      </c>
      <c r="P197" s="404">
        <f t="shared" si="36"/>
        <v>1513</v>
      </c>
      <c r="Q197" s="463">
        <f t="shared" si="39"/>
        <v>8108</v>
      </c>
      <c r="R197" s="464">
        <v>3.3610000000000002</v>
      </c>
      <c r="S197" s="463">
        <f t="shared" si="40"/>
        <v>27250.988000000001</v>
      </c>
      <c r="T197" s="397" t="s">
        <v>256</v>
      </c>
    </row>
    <row r="198" spans="1:20" ht="15" hidden="1" x14ac:dyDescent="0.25">
      <c r="A198" s="398" t="s">
        <v>1861</v>
      </c>
      <c r="B198" s="398"/>
      <c r="C198" s="400" t="str">
        <f>+IFERROR(INDEX([4]IMPORTS!$E:$E,MATCH($A198,[4]IMPORTS!$C:$C,0)),"")</f>
        <v>ÁCIDO FOSFÓRICO</v>
      </c>
      <c r="D198" s="400" t="str">
        <f>+IFERROR(INDEX([4]IMPORTS!$F:$F,MATCH($A198,[4]IMPORTS!$C:$C,0)),"")</f>
        <v>MITSUI &amp; CO., Ltda</v>
      </c>
      <c r="E198" s="465" t="str">
        <f>+IFERROR(INDEX([4]IMPORTS!$AF:$AF,MATCH($A198,[4]IMPORTS!$C:$C,0)),"")</f>
        <v>CALLAO</v>
      </c>
      <c r="F198" s="408">
        <f>+IFERROR(INDEX([4]IMPORTS!$Y:$Y,MATCH($A198,[4]IMPORTS!$C:$C,0)),"")</f>
        <v>44114</v>
      </c>
      <c r="G198" s="408">
        <f t="shared" si="37"/>
        <v>44112</v>
      </c>
      <c r="H198" s="402">
        <f>+IFERROR(INDEX([4]IMPORTS!$P:$P,MATCH($A198,[4]IMPORTS!$C:$C,0)),"")</f>
        <v>319.2</v>
      </c>
      <c r="I198" s="408" t="str">
        <f>+IFERROR(INDEX([4]IMPORTS!$R:$R,MATCH($A198,[4]IMPORTS!$C:$C,0)),"")</f>
        <v>CFR</v>
      </c>
      <c r="J198" s="409">
        <f>+IFERROR(INDEX([4]IMPORTS!$S:$S,MATCH($A198,[4]IMPORTS!$C:$C,0)),"")</f>
        <v>837</v>
      </c>
      <c r="K198" s="403">
        <f t="shared" si="38"/>
        <v>267170.39999999997</v>
      </c>
      <c r="L198" s="403">
        <f t="shared" si="32"/>
        <v>293.88743999999997</v>
      </c>
      <c r="M198" s="403">
        <f t="shared" si="33"/>
        <v>267464.28743999999</v>
      </c>
      <c r="N198" s="404">
        <f t="shared" si="34"/>
        <v>5349</v>
      </c>
      <c r="O198" s="404">
        <f t="shared" si="35"/>
        <v>42794</v>
      </c>
      <c r="P198" s="404">
        <f t="shared" si="36"/>
        <v>11046</v>
      </c>
      <c r="Q198" s="463">
        <f t="shared" si="39"/>
        <v>59189</v>
      </c>
      <c r="R198" s="464">
        <v>3.3610000000000002</v>
      </c>
      <c r="S198" s="463">
        <f t="shared" si="40"/>
        <v>198934.22900000002</v>
      </c>
      <c r="T198" s="397" t="s">
        <v>256</v>
      </c>
    </row>
    <row r="199" spans="1:20" ht="15" hidden="1" x14ac:dyDescent="0.25">
      <c r="A199" s="398" t="s">
        <v>1862</v>
      </c>
      <c r="B199" s="398"/>
      <c r="C199" s="400" t="str">
        <f>+IFERROR(INDEX([4]IMPORTS!$E:$E,MATCH($A199,[4]IMPORTS!$C:$C,0)),"")</f>
        <v>ÁCIDO FOSFÓRICO</v>
      </c>
      <c r="D199" s="400" t="str">
        <f>+IFERROR(INDEX([4]IMPORTS!$F:$F,MATCH($A199,[4]IMPORTS!$C:$C,0)),"")</f>
        <v>MITSUI &amp; CO., Ltda</v>
      </c>
      <c r="E199" s="465" t="str">
        <f>+IFERROR(INDEX([4]IMPORTS!$AF:$AF,MATCH($A199,[4]IMPORTS!$C:$C,0)),"")</f>
        <v>PAITA</v>
      </c>
      <c r="F199" s="408">
        <f>+IFERROR(INDEX([4]IMPORTS!$Y:$Y,MATCH($A199,[4]IMPORTS!$C:$C,0)),"")</f>
        <v>44097</v>
      </c>
      <c r="G199" s="408">
        <f t="shared" si="37"/>
        <v>44095</v>
      </c>
      <c r="H199" s="402">
        <f>+IFERROR(INDEX([4]IMPORTS!$P:$P,MATCH($A199,[4]IMPORTS!$C:$C,0)),"")</f>
        <v>292.60000000000002</v>
      </c>
      <c r="I199" s="408" t="str">
        <f>+IFERROR(INDEX([4]IMPORTS!$R:$R,MATCH($A199,[4]IMPORTS!$C:$C,0)),"")</f>
        <v>CFR</v>
      </c>
      <c r="J199" s="409">
        <f>+IFERROR(INDEX([4]IMPORTS!$S:$S,MATCH($A199,[4]IMPORTS!$C:$C,0)),"")</f>
        <v>847</v>
      </c>
      <c r="K199" s="403">
        <f t="shared" si="38"/>
        <v>247832.2</v>
      </c>
      <c r="L199" s="403">
        <f t="shared" si="32"/>
        <v>272.61542000000003</v>
      </c>
      <c r="M199" s="403">
        <f t="shared" si="33"/>
        <v>248104.81542</v>
      </c>
      <c r="N199" s="404">
        <f t="shared" si="34"/>
        <v>4962</v>
      </c>
      <c r="O199" s="404">
        <f t="shared" si="35"/>
        <v>39697</v>
      </c>
      <c r="P199" s="404">
        <f t="shared" si="36"/>
        <v>10247</v>
      </c>
      <c r="Q199" s="463">
        <f t="shared" si="39"/>
        <v>54906</v>
      </c>
      <c r="R199" s="464">
        <v>3.3610000000000002</v>
      </c>
      <c r="S199" s="463">
        <f t="shared" si="40"/>
        <v>184539.06600000002</v>
      </c>
      <c r="T199" s="397" t="s">
        <v>256</v>
      </c>
    </row>
    <row r="200" spans="1:20" ht="15" hidden="1" x14ac:dyDescent="0.25">
      <c r="A200" s="398" t="s">
        <v>1863</v>
      </c>
      <c r="B200" s="398"/>
      <c r="C200" s="400" t="str">
        <f>+IFERROR(INDEX([4]IMPORTS!$E:$E,MATCH($A200,[4]IMPORTS!$C:$C,0)),"")</f>
        <v>ÁCIDO FOSFÓRICO</v>
      </c>
      <c r="D200" s="400" t="str">
        <f>+IFERROR(INDEX([4]IMPORTS!$F:$F,MATCH($A200,[4]IMPORTS!$C:$C,0)),"")</f>
        <v>MITSUI &amp; CO., Ltda</v>
      </c>
      <c r="E200" s="465" t="str">
        <f>+IFERROR(INDEX([4]IMPORTS!$AF:$AF,MATCH($A200,[4]IMPORTS!$C:$C,0)),"")</f>
        <v>PAITA</v>
      </c>
      <c r="F200" s="408">
        <f>+IFERROR(INDEX([4]IMPORTS!$Y:$Y,MATCH($A200,[4]IMPORTS!$C:$C,0)),"")</f>
        <v>44127</v>
      </c>
      <c r="G200" s="408">
        <f t="shared" si="37"/>
        <v>44125</v>
      </c>
      <c r="H200" s="402">
        <f>+IFERROR(INDEX([4]IMPORTS!$P:$P,MATCH($A200,[4]IMPORTS!$C:$C,0)),"")</f>
        <v>319.2</v>
      </c>
      <c r="I200" s="408" t="str">
        <f>+IFERROR(INDEX([4]IMPORTS!$R:$R,MATCH($A200,[4]IMPORTS!$C:$C,0)),"")</f>
        <v>CFR</v>
      </c>
      <c r="J200" s="409">
        <f>+IFERROR(INDEX([4]IMPORTS!$S:$S,MATCH($A200,[4]IMPORTS!$C:$C,0)),"")</f>
        <v>847</v>
      </c>
      <c r="K200" s="403">
        <f t="shared" si="38"/>
        <v>270362.39999999997</v>
      </c>
      <c r="L200" s="403">
        <f t="shared" si="32"/>
        <v>297.39864</v>
      </c>
      <c r="M200" s="403">
        <f t="shared" si="33"/>
        <v>270659.79863999999</v>
      </c>
      <c r="N200" s="404">
        <f t="shared" si="34"/>
        <v>5413</v>
      </c>
      <c r="O200" s="404">
        <f t="shared" si="35"/>
        <v>43306</v>
      </c>
      <c r="P200" s="404">
        <f t="shared" si="36"/>
        <v>11178</v>
      </c>
      <c r="Q200" s="463">
        <f t="shared" si="39"/>
        <v>59897</v>
      </c>
      <c r="R200" s="464">
        <v>3.3610000000000002</v>
      </c>
      <c r="S200" s="463">
        <f t="shared" si="40"/>
        <v>201313.81700000001</v>
      </c>
      <c r="T200" s="397" t="s">
        <v>256</v>
      </c>
    </row>
    <row r="201" spans="1:20" ht="15" hidden="1" x14ac:dyDescent="0.25">
      <c r="A201" s="398" t="s">
        <v>1884</v>
      </c>
      <c r="B201" s="398"/>
      <c r="C201" s="400" t="str">
        <f>+IFERROR(INDEX([4]IMPORTS!$E:$E,MATCH($A201,[4]IMPORTS!$C:$C,0)),"")</f>
        <v>ÁCIDO FOSFÓRICO</v>
      </c>
      <c r="D201" s="400" t="str">
        <f>+IFERROR(INDEX([4]IMPORTS!$F:$F,MATCH($A201,[4]IMPORTS!$C:$C,0)),"")</f>
        <v>NEW CHINA CHEMICALS CO., LTD.</v>
      </c>
      <c r="E201" s="465" t="str">
        <f>+IFERROR(INDEX([4]IMPORTS!$AF:$AF,MATCH($A201,[4]IMPORTS!$C:$C,0)),"")</f>
        <v>PAITA</v>
      </c>
      <c r="F201" s="408">
        <f>+IFERROR(INDEX([4]IMPORTS!$Y:$Y,MATCH($A201,[4]IMPORTS!$C:$C,0)),"")</f>
        <v>44106</v>
      </c>
      <c r="G201" s="408">
        <f t="shared" si="37"/>
        <v>44104</v>
      </c>
      <c r="H201" s="402">
        <f>+IFERROR(INDEX([4]IMPORTS!$P:$P,MATCH($A201,[4]IMPORTS!$C:$C,0)),"")</f>
        <v>336.7</v>
      </c>
      <c r="I201" s="408" t="str">
        <f>+IFERROR(INDEX([4]IMPORTS!$R:$R,MATCH($A201,[4]IMPORTS!$C:$C,0)),"")</f>
        <v>CIF</v>
      </c>
      <c r="J201" s="409">
        <f>+IFERROR(INDEX([4]IMPORTS!$S:$S,MATCH($A201,[4]IMPORTS!$C:$C,0)),"")</f>
        <v>825</v>
      </c>
      <c r="K201" s="403">
        <f t="shared" si="38"/>
        <v>277777.5</v>
      </c>
      <c r="L201" s="403">
        <f t="shared" si="32"/>
        <v>305.55525</v>
      </c>
      <c r="M201" s="403">
        <f t="shared" si="33"/>
        <v>278083.05524999998</v>
      </c>
      <c r="N201" s="404">
        <f t="shared" si="34"/>
        <v>5562</v>
      </c>
      <c r="O201" s="404">
        <f t="shared" si="35"/>
        <v>44493</v>
      </c>
      <c r="P201" s="404">
        <f t="shared" si="36"/>
        <v>11485</v>
      </c>
      <c r="Q201" s="463">
        <f t="shared" si="39"/>
        <v>61540</v>
      </c>
      <c r="R201" s="464">
        <v>3.3610000000000002</v>
      </c>
      <c r="S201" s="463">
        <f t="shared" si="40"/>
        <v>206835.94</v>
      </c>
      <c r="T201" s="397" t="s">
        <v>256</v>
      </c>
    </row>
    <row r="202" spans="1:20" ht="15" hidden="1" x14ac:dyDescent="0.25">
      <c r="A202" s="398" t="s">
        <v>1885</v>
      </c>
      <c r="B202" s="398"/>
      <c r="C202" s="400" t="str">
        <f>+IFERROR(INDEX([4]IMPORTS!$E:$E,MATCH($A202,[4]IMPORTS!$C:$C,0)),"")</f>
        <v>ÁCIDO FOSFÓRICO</v>
      </c>
      <c r="D202" s="400" t="str">
        <f>+IFERROR(INDEX([4]IMPORTS!$F:$F,MATCH($A202,[4]IMPORTS!$C:$C,0)),"")</f>
        <v>NEW CHINA CHEMICALS CO., LTD.</v>
      </c>
      <c r="E202" s="465" t="str">
        <f>+IFERROR(INDEX([4]IMPORTS!$AF:$AF,MATCH($A202,[4]IMPORTS!$C:$C,0)),"")</f>
        <v>PAITA</v>
      </c>
      <c r="F202" s="408">
        <f>+IFERROR(INDEX([4]IMPORTS!$Y:$Y,MATCH($A202,[4]IMPORTS!$C:$C,0)),"")</f>
        <v>44120</v>
      </c>
      <c r="G202" s="408">
        <f t="shared" si="37"/>
        <v>44118</v>
      </c>
      <c r="H202" s="402">
        <f>+IFERROR(INDEX([4]IMPORTS!$P:$P,MATCH($A202,[4]IMPORTS!$C:$C,0)),"")</f>
        <v>362.6</v>
      </c>
      <c r="I202" s="408" t="str">
        <f>+IFERROR(INDEX([4]IMPORTS!$R:$R,MATCH($A202,[4]IMPORTS!$C:$C,0)),"")</f>
        <v>CIF</v>
      </c>
      <c r="J202" s="409">
        <f>+IFERROR(INDEX([4]IMPORTS!$S:$S,MATCH($A202,[4]IMPORTS!$C:$C,0)),"")</f>
        <v>825</v>
      </c>
      <c r="K202" s="403">
        <f t="shared" si="38"/>
        <v>299145</v>
      </c>
      <c r="L202" s="403">
        <f t="shared" si="32"/>
        <v>329.05950000000001</v>
      </c>
      <c r="M202" s="403">
        <f t="shared" si="33"/>
        <v>299474.05949999997</v>
      </c>
      <c r="N202" s="404">
        <f t="shared" si="34"/>
        <v>5989</v>
      </c>
      <c r="O202" s="404">
        <f t="shared" si="35"/>
        <v>47916</v>
      </c>
      <c r="P202" s="404">
        <f t="shared" si="36"/>
        <v>12368</v>
      </c>
      <c r="Q202" s="463">
        <f t="shared" si="39"/>
        <v>66273</v>
      </c>
      <c r="R202" s="464">
        <v>3.3610000000000002</v>
      </c>
      <c r="S202" s="463">
        <f t="shared" si="40"/>
        <v>222743.55300000001</v>
      </c>
      <c r="T202" s="397" t="s">
        <v>256</v>
      </c>
    </row>
    <row r="203" spans="1:20" ht="15" hidden="1" x14ac:dyDescent="0.25">
      <c r="A203" s="398" t="s">
        <v>1870</v>
      </c>
      <c r="B203" s="398"/>
      <c r="C203" s="400" t="str">
        <f>+IFERROR(INDEX([4]IMPORTS!$E:$E,MATCH($A203,[4]IMPORTS!$C:$C,0)),"")</f>
        <v>YARATERA CALCINIT X 25KG</v>
      </c>
      <c r="D203" s="400" t="str">
        <f>+IFERROR(INDEX([4]IMPORTS!$F:$F,MATCH($A203,[4]IMPORTS!$C:$C,0)),"")</f>
        <v>YARA PERÚ SRL</v>
      </c>
      <c r="E203" s="465" t="str">
        <f>+IFERROR(INDEX([4]IMPORTS!$AF:$AF,MATCH($A203,[4]IMPORTS!$C:$C,0)),"")</f>
        <v>MATARANI</v>
      </c>
      <c r="F203" s="408">
        <f>+IFERROR(INDEX([4]IMPORTS!$Y:$Y,MATCH($A203,[4]IMPORTS!$C:$C,0)),"")</f>
        <v>44092</v>
      </c>
      <c r="G203" s="408">
        <f t="shared" si="37"/>
        <v>44090</v>
      </c>
      <c r="H203" s="402">
        <f>+IFERROR(INDEX([4]IMPORTS!$P:$P,MATCH($A203,[4]IMPORTS!$C:$C,0)),"")</f>
        <v>100</v>
      </c>
      <c r="I203" s="408" t="str">
        <f>+IFERROR(INDEX([4]IMPORTS!$R:$R,MATCH($A203,[4]IMPORTS!$C:$C,0)),"")</f>
        <v>CFR</v>
      </c>
      <c r="J203" s="409">
        <f>+IFERROR(INDEX([4]IMPORTS!$S:$S,MATCH($A203,[4]IMPORTS!$C:$C,0)),"")</f>
        <v>220.34</v>
      </c>
      <c r="K203" s="403">
        <f t="shared" si="38"/>
        <v>22034</v>
      </c>
      <c r="L203" s="403">
        <f t="shared" si="32"/>
        <v>24.237400000000001</v>
      </c>
      <c r="M203" s="403">
        <f t="shared" si="33"/>
        <v>22058.237400000002</v>
      </c>
      <c r="N203" s="404">
        <f t="shared" si="34"/>
        <v>441</v>
      </c>
      <c r="O203" s="404">
        <f t="shared" si="35"/>
        <v>3529</v>
      </c>
      <c r="P203" s="404">
        <f t="shared" si="36"/>
        <v>911</v>
      </c>
      <c r="Q203" s="463">
        <f t="shared" si="39"/>
        <v>4881</v>
      </c>
      <c r="R203" s="464">
        <v>3.3610000000000002</v>
      </c>
      <c r="S203" s="463">
        <f t="shared" si="40"/>
        <v>16405.041000000001</v>
      </c>
      <c r="T203" s="397" t="s">
        <v>256</v>
      </c>
    </row>
    <row r="204" spans="1:20" ht="15" hidden="1" x14ac:dyDescent="0.25">
      <c r="A204" s="398" t="s">
        <v>3076</v>
      </c>
      <c r="B204" s="398"/>
      <c r="C204" s="400" t="str">
        <f>+IFERROR(INDEX([4]IMPORTS!$E:$E,MATCH($A204,[4]IMPORTS!$C:$C,0)),"")</f>
        <v xml:space="preserve">SULFATO DE MAGNESIO HEPTAHIDRATADO </v>
      </c>
      <c r="D204" s="400" t="str">
        <f>+IFERROR(INDEX([4]IMPORTS!$F:$F,MATCH($A204,[4]IMPORTS!$C:$C,0)),"")</f>
        <v>STAR GRACE MINING CO.,LTD</v>
      </c>
      <c r="E204" s="465" t="str">
        <f>+IFERROR(INDEX([4]IMPORTS!$AF:$AF,MATCH($A204,[4]IMPORTS!$C:$C,0)),"")</f>
        <v>PAITA</v>
      </c>
      <c r="F204" s="408">
        <f>+IFERROR(INDEX([4]IMPORTS!$Y:$Y,MATCH($A204,[4]IMPORTS!$C:$C,0)),"")</f>
        <v>44092</v>
      </c>
      <c r="G204" s="408">
        <f t="shared" si="37"/>
        <v>44090</v>
      </c>
      <c r="H204" s="402">
        <f>+IFERROR(INDEX([4]IMPORTS!$P:$P,MATCH($A204,[4]IMPORTS!$C:$C,0)),"")</f>
        <v>400.4</v>
      </c>
      <c r="I204" s="408" t="str">
        <f>+IFERROR(INDEX([4]IMPORTS!$R:$R,MATCH($A204,[4]IMPORTS!$C:$C,0)),"")</f>
        <v>CFR</v>
      </c>
      <c r="J204" s="409">
        <f>+IFERROR(INDEX([4]IMPORTS!$S:$S,MATCH($A204,[4]IMPORTS!$C:$C,0)),"")</f>
        <v>107</v>
      </c>
      <c r="K204" s="403">
        <f t="shared" si="38"/>
        <v>42842.799999999996</v>
      </c>
      <c r="L204" s="403">
        <f t="shared" si="32"/>
        <v>47.127079999999999</v>
      </c>
      <c r="M204" s="403">
        <f t="shared" si="33"/>
        <v>42889.927079999994</v>
      </c>
      <c r="N204" s="404">
        <f t="shared" si="34"/>
        <v>858</v>
      </c>
      <c r="O204" s="404">
        <f t="shared" si="35"/>
        <v>6862</v>
      </c>
      <c r="P204" s="404">
        <f t="shared" si="36"/>
        <v>1771</v>
      </c>
      <c r="Q204" s="463">
        <f t="shared" si="39"/>
        <v>9491</v>
      </c>
      <c r="R204" s="464">
        <v>3.3610000000000002</v>
      </c>
      <c r="S204" s="463">
        <f t="shared" si="40"/>
        <v>31899.251</v>
      </c>
      <c r="T204" s="397" t="s">
        <v>256</v>
      </c>
    </row>
    <row r="205" spans="1:20" ht="15" hidden="1" x14ac:dyDescent="0.25">
      <c r="A205" s="398" t="s">
        <v>3077</v>
      </c>
      <c r="B205" s="398"/>
      <c r="C205" s="400" t="str">
        <f>+IFERROR(INDEX([4]IMPORTS!$E:$E,MATCH($A205,[4]IMPORTS!$C:$C,0)),"")</f>
        <v xml:space="preserve">SULFATO DE MAGNESIO HEPTAHIDRATADO </v>
      </c>
      <c r="D205" s="400" t="str">
        <f>+IFERROR(INDEX([4]IMPORTS!$F:$F,MATCH($A205,[4]IMPORTS!$C:$C,0)),"")</f>
        <v>STAR GRACE MINING CO.,LTD</v>
      </c>
      <c r="E205" s="465" t="str">
        <f>+IFERROR(INDEX([4]IMPORTS!$AF:$AF,MATCH($A205,[4]IMPORTS!$C:$C,0)),"")</f>
        <v>PAITA</v>
      </c>
      <c r="F205" s="408">
        <f>+IFERROR(INDEX([4]IMPORTS!$Y:$Y,MATCH($A205,[4]IMPORTS!$C:$C,0)),"")</f>
        <v>44099</v>
      </c>
      <c r="G205" s="408">
        <f t="shared" si="37"/>
        <v>44097</v>
      </c>
      <c r="H205" s="402">
        <f>+IFERROR(INDEX([4]IMPORTS!$P:$P,MATCH($A205,[4]IMPORTS!$C:$C,0)),"")</f>
        <v>314.60000000000002</v>
      </c>
      <c r="I205" s="408" t="str">
        <f>+IFERROR(INDEX([4]IMPORTS!$R:$R,MATCH($A205,[4]IMPORTS!$C:$C,0)),"")</f>
        <v>CFR</v>
      </c>
      <c r="J205" s="409">
        <f>+IFERROR(INDEX([4]IMPORTS!$S:$S,MATCH($A205,[4]IMPORTS!$C:$C,0)),"")</f>
        <v>107</v>
      </c>
      <c r="K205" s="403">
        <f t="shared" si="38"/>
        <v>33662.200000000004</v>
      </c>
      <c r="L205" s="403">
        <f t="shared" si="32"/>
        <v>37.028420000000004</v>
      </c>
      <c r="M205" s="403">
        <f t="shared" si="33"/>
        <v>33699.228420000007</v>
      </c>
      <c r="N205" s="404">
        <f t="shared" si="34"/>
        <v>674</v>
      </c>
      <c r="O205" s="404">
        <f t="shared" si="35"/>
        <v>5392</v>
      </c>
      <c r="P205" s="404">
        <f t="shared" si="36"/>
        <v>1392</v>
      </c>
      <c r="Q205" s="463">
        <f t="shared" si="39"/>
        <v>7458</v>
      </c>
      <c r="R205" s="464">
        <v>3.3610000000000002</v>
      </c>
      <c r="S205" s="463">
        <f t="shared" si="40"/>
        <v>25066.338000000003</v>
      </c>
      <c r="T205" s="397" t="s">
        <v>256</v>
      </c>
    </row>
    <row r="206" spans="1:20" ht="15" hidden="1" x14ac:dyDescent="0.25">
      <c r="A206" s="398" t="s">
        <v>2088</v>
      </c>
      <c r="B206" s="398"/>
      <c r="C206" s="400" t="str">
        <f>+IFERROR(INDEX([4]IMPORTS!$E:$E,MATCH($A206,[4]IMPORTS!$C:$C,0)),"")</f>
        <v>NITRATO DE MAGNESIO HEXAHIDRATADO</v>
      </c>
      <c r="D206" s="400" t="str">
        <f>+IFERROR(INDEX([4]IMPORTS!$F:$F,MATCH($A206,[4]IMPORTS!$C:$C,0)),"")</f>
        <v>STAR GRACE MINING CO.,LTD</v>
      </c>
      <c r="E206" s="465" t="str">
        <f>+IFERROR(INDEX([4]IMPORTS!$AF:$AF,MATCH($A206,[4]IMPORTS!$C:$C,0)),"")</f>
        <v>PAITA</v>
      </c>
      <c r="F206" s="408">
        <f>+IFERROR(INDEX([4]IMPORTS!$Y:$Y,MATCH($A206,[4]IMPORTS!$C:$C,0)),"")</f>
        <v>44120</v>
      </c>
      <c r="G206" s="408">
        <f t="shared" si="37"/>
        <v>44118</v>
      </c>
      <c r="H206" s="402">
        <f>+IFERROR(INDEX([4]IMPORTS!$P:$P,MATCH($A206,[4]IMPORTS!$C:$C,0)),"")</f>
        <v>143</v>
      </c>
      <c r="I206" s="408" t="str">
        <f>+IFERROR(INDEX([4]IMPORTS!$R:$R,MATCH($A206,[4]IMPORTS!$C:$C,0)),"")</f>
        <v>CFR</v>
      </c>
      <c r="J206" s="409">
        <f>+IFERROR(INDEX([4]IMPORTS!$S:$S,MATCH($A206,[4]IMPORTS!$C:$C,0)),"")</f>
        <v>233</v>
      </c>
      <c r="K206" s="403">
        <f t="shared" si="38"/>
        <v>33319</v>
      </c>
      <c r="L206" s="403">
        <f t="shared" si="32"/>
        <v>36.6509</v>
      </c>
      <c r="M206" s="403">
        <f t="shared" si="33"/>
        <v>33355.650900000001</v>
      </c>
      <c r="N206" s="404">
        <f t="shared" si="34"/>
        <v>667</v>
      </c>
      <c r="O206" s="404">
        <f t="shared" si="35"/>
        <v>5337</v>
      </c>
      <c r="P206" s="404">
        <f t="shared" si="36"/>
        <v>1378</v>
      </c>
      <c r="Q206" s="463">
        <f t="shared" si="39"/>
        <v>7382</v>
      </c>
      <c r="R206" s="464">
        <v>3.3610000000000002</v>
      </c>
      <c r="S206" s="463">
        <f t="shared" si="40"/>
        <v>24810.902000000002</v>
      </c>
      <c r="T206" s="397" t="s">
        <v>256</v>
      </c>
    </row>
    <row r="207" spans="1:20" ht="15" hidden="1" x14ac:dyDescent="0.25">
      <c r="A207" s="398" t="s">
        <v>2089</v>
      </c>
      <c r="B207" s="398"/>
      <c r="C207" s="400" t="str">
        <f>+IFERROR(INDEX([4]IMPORTS!$E:$E,MATCH($A207,[4]IMPORTS!$C:$C,0)),"")</f>
        <v>NITRATO DE MAGNESIO HEXAHIDRATADO</v>
      </c>
      <c r="D207" s="400" t="str">
        <f>+IFERROR(INDEX([4]IMPORTS!$F:$F,MATCH($A207,[4]IMPORTS!$C:$C,0)),"")</f>
        <v>STAR GRACE MINING CO.,LTD</v>
      </c>
      <c r="E207" s="465" t="str">
        <f>+IFERROR(INDEX([4]IMPORTS!$AF:$AF,MATCH($A207,[4]IMPORTS!$C:$C,0)),"")</f>
        <v>PAITA</v>
      </c>
      <c r="F207" s="408">
        <f>+IFERROR(INDEX([4]IMPORTS!$Y:$Y,MATCH($A207,[4]IMPORTS!$C:$C,0)),"")</f>
        <v>44140</v>
      </c>
      <c r="G207" s="408">
        <f t="shared" si="37"/>
        <v>44138</v>
      </c>
      <c r="H207" s="402">
        <f>+IFERROR(INDEX([4]IMPORTS!$P:$P,MATCH($A207,[4]IMPORTS!$C:$C,0)),"")</f>
        <v>85.8</v>
      </c>
      <c r="I207" s="408" t="str">
        <f>+IFERROR(INDEX([4]IMPORTS!$R:$R,MATCH($A207,[4]IMPORTS!$C:$C,0)),"")</f>
        <v>CFR</v>
      </c>
      <c r="J207" s="409">
        <f>+IFERROR(INDEX([4]IMPORTS!$S:$S,MATCH($A207,[4]IMPORTS!$C:$C,0)),"")</f>
        <v>233</v>
      </c>
      <c r="K207" s="403">
        <f t="shared" si="38"/>
        <v>19991.399999999998</v>
      </c>
      <c r="L207" s="403">
        <f t="shared" si="32"/>
        <v>21.990539999999999</v>
      </c>
      <c r="M207" s="403">
        <f t="shared" si="33"/>
        <v>20013.390539999997</v>
      </c>
      <c r="N207" s="404">
        <f t="shared" si="34"/>
        <v>400</v>
      </c>
      <c r="O207" s="404">
        <f t="shared" si="35"/>
        <v>3202</v>
      </c>
      <c r="P207" s="404">
        <f t="shared" si="36"/>
        <v>827</v>
      </c>
      <c r="Q207" s="463">
        <f t="shared" si="39"/>
        <v>4429</v>
      </c>
      <c r="R207" s="464">
        <v>3.3610000000000002</v>
      </c>
      <c r="S207" s="463">
        <f t="shared" si="40"/>
        <v>14885.869000000001</v>
      </c>
      <c r="T207" s="397" t="s">
        <v>256</v>
      </c>
    </row>
    <row r="208" spans="1:20" ht="15" hidden="1" x14ac:dyDescent="0.25">
      <c r="A208" s="398" t="s">
        <v>1924</v>
      </c>
      <c r="B208" s="398"/>
      <c r="C208" s="400" t="str">
        <f>+IFERROR(INDEX([4]IMPORTS!$E:$E,MATCH($A208,[4]IMPORTS!$C:$C,0)),"")</f>
        <v>YARALIVA NITRABOR A GRANEL</v>
      </c>
      <c r="D208" s="400" t="str">
        <f>+IFERROR(INDEX([4]IMPORTS!$F:$F,MATCH($A208,[4]IMPORTS!$C:$C,0)),"")</f>
        <v>YARA PERÚ SRL</v>
      </c>
      <c r="E208" s="465" t="str">
        <f>+IFERROR(INDEX([4]IMPORTS!$AF:$AF,MATCH($A208,[4]IMPORTS!$C:$C,0)),"")</f>
        <v>PAITA</v>
      </c>
      <c r="F208" s="408">
        <f>+IFERROR(INDEX([4]IMPORTS!$Y:$Y,MATCH($A208,[4]IMPORTS!$C:$C,0)),"")</f>
        <v>44097</v>
      </c>
      <c r="G208" s="408">
        <f t="shared" si="37"/>
        <v>44095</v>
      </c>
      <c r="H208" s="402">
        <f>+IFERROR(INDEX([4]IMPORTS!$P:$P,MATCH($A208,[4]IMPORTS!$C:$C,0)),"")</f>
        <v>159.79</v>
      </c>
      <c r="I208" s="408" t="str">
        <f>+IFERROR(INDEX([4]IMPORTS!$R:$R,MATCH($A208,[4]IMPORTS!$C:$C,0)),"")</f>
        <v>CFR</v>
      </c>
      <c r="J208" s="409">
        <f>+IFERROR(INDEX([4]IMPORTS!$S:$S,MATCH($A208,[4]IMPORTS!$C:$C,0)),"")</f>
        <v>272.95</v>
      </c>
      <c r="K208" s="403">
        <f t="shared" si="38"/>
        <v>43614.680499999995</v>
      </c>
      <c r="L208" s="403">
        <f t="shared" si="32"/>
        <v>47.976148549999998</v>
      </c>
      <c r="M208" s="403">
        <f t="shared" si="33"/>
        <v>43662.656648549993</v>
      </c>
      <c r="N208" s="404">
        <f t="shared" si="34"/>
        <v>873</v>
      </c>
      <c r="O208" s="404">
        <f t="shared" si="35"/>
        <v>6986</v>
      </c>
      <c r="P208" s="404">
        <f t="shared" si="36"/>
        <v>1803</v>
      </c>
      <c r="Q208" s="463">
        <f t="shared" si="39"/>
        <v>9662</v>
      </c>
      <c r="R208" s="464">
        <v>3.3610000000000002</v>
      </c>
      <c r="S208" s="463">
        <f t="shared" si="40"/>
        <v>32473.982000000004</v>
      </c>
      <c r="T208" s="397" t="s">
        <v>256</v>
      </c>
    </row>
    <row r="209" spans="1:20" ht="15" hidden="1" x14ac:dyDescent="0.25">
      <c r="A209" s="398" t="s">
        <v>1925</v>
      </c>
      <c r="B209" s="398"/>
      <c r="C209" s="400" t="str">
        <f>+IFERROR(INDEX([4]IMPORTS!$E:$E,MATCH($A209,[4]IMPORTS!$C:$C,0)),"")</f>
        <v/>
      </c>
      <c r="D209" s="400" t="str">
        <f>+IFERROR(INDEX([4]IMPORTS!$F:$F,MATCH($A209,[4]IMPORTS!$C:$C,0)),"")</f>
        <v/>
      </c>
      <c r="E209" s="465" t="str">
        <f>+IFERROR(INDEX([4]IMPORTS!$AF:$AF,MATCH($A209,[4]IMPORTS!$C:$C,0)),"")</f>
        <v/>
      </c>
      <c r="F209" s="408" t="str">
        <f>+IFERROR(INDEX([4]IMPORTS!$Y:$Y,MATCH($A209,[4]IMPORTS!$C:$C,0)),"")</f>
        <v/>
      </c>
      <c r="G209" s="408" t="e">
        <f t="shared" si="37"/>
        <v>#VALUE!</v>
      </c>
      <c r="H209" s="402" t="str">
        <f>+IFERROR(INDEX([4]IMPORTS!$P:$P,MATCH($A209,[4]IMPORTS!$C:$C,0)),"")</f>
        <v/>
      </c>
      <c r="I209" s="408" t="str">
        <f>+IFERROR(INDEX([4]IMPORTS!$R:$R,MATCH($A209,[4]IMPORTS!$C:$C,0)),"")</f>
        <v/>
      </c>
      <c r="J209" s="409" t="str">
        <f>+IFERROR(INDEX([4]IMPORTS!$S:$S,MATCH($A209,[4]IMPORTS!$C:$C,0)),"")</f>
        <v/>
      </c>
      <c r="K209" s="403" t="e">
        <f t="shared" si="38"/>
        <v>#VALUE!</v>
      </c>
      <c r="L209" s="403" t="e">
        <f t="shared" si="32"/>
        <v>#VALUE!</v>
      </c>
      <c r="M209" s="403" t="e">
        <f t="shared" si="33"/>
        <v>#VALUE!</v>
      </c>
      <c r="N209" s="404" t="e">
        <f t="shared" si="34"/>
        <v>#VALUE!</v>
      </c>
      <c r="O209" s="404" t="e">
        <f t="shared" si="35"/>
        <v>#VALUE!</v>
      </c>
      <c r="P209" s="404" t="e">
        <f t="shared" si="36"/>
        <v>#VALUE!</v>
      </c>
      <c r="Q209" s="463" t="e">
        <f t="shared" si="39"/>
        <v>#VALUE!</v>
      </c>
      <c r="R209" s="464">
        <v>3.3610000000000002</v>
      </c>
      <c r="S209" s="463" t="e">
        <f t="shared" si="40"/>
        <v>#VALUE!</v>
      </c>
      <c r="T209" s="397" t="s">
        <v>256</v>
      </c>
    </row>
    <row r="210" spans="1:20" ht="15" hidden="1" x14ac:dyDescent="0.25">
      <c r="A210" s="398" t="s">
        <v>1927</v>
      </c>
      <c r="B210" s="398"/>
      <c r="C210" s="400" t="str">
        <f>+IFERROR(INDEX([4]IMPORTS!$E:$E,MATCH($A210,[4]IMPORTS!$C:$C,0)),"")</f>
        <v>YARALIVA NITRABOR A GRANEL</v>
      </c>
      <c r="D210" s="400" t="str">
        <f>+IFERROR(INDEX([4]IMPORTS!$F:$F,MATCH($A210,[4]IMPORTS!$C:$C,0)),"")</f>
        <v>YARA PERÚ SRL</v>
      </c>
      <c r="E210" s="465" t="str">
        <f>+IFERROR(INDEX([4]IMPORTS!$AF:$AF,MATCH($A210,[4]IMPORTS!$C:$C,0)),"")</f>
        <v>PAITA</v>
      </c>
      <c r="F210" s="408">
        <f>+IFERROR(INDEX([4]IMPORTS!$Y:$Y,MATCH($A210,[4]IMPORTS!$C:$C,0)),"")</f>
        <v>44090</v>
      </c>
      <c r="G210" s="408">
        <f t="shared" si="37"/>
        <v>44088</v>
      </c>
      <c r="H210" s="402">
        <f>+IFERROR(INDEX([4]IMPORTS!$P:$P,MATCH($A210,[4]IMPORTS!$C:$C,0)),"")</f>
        <v>185.86500000000001</v>
      </c>
      <c r="I210" s="408" t="str">
        <f>+IFERROR(INDEX([4]IMPORTS!$R:$R,MATCH($A210,[4]IMPORTS!$C:$C,0)),"")</f>
        <v>CFR</v>
      </c>
      <c r="J210" s="409">
        <f>+IFERROR(INDEX([4]IMPORTS!$S:$S,MATCH($A210,[4]IMPORTS!$C:$C,0)),"")</f>
        <v>274.68</v>
      </c>
      <c r="K210" s="403">
        <f t="shared" si="38"/>
        <v>51053.398200000003</v>
      </c>
      <c r="L210" s="403">
        <f t="shared" si="32"/>
        <v>56.158738020000008</v>
      </c>
      <c r="M210" s="403">
        <f t="shared" si="33"/>
        <v>51109.556938020003</v>
      </c>
      <c r="N210" s="404">
        <f t="shared" si="34"/>
        <v>1022</v>
      </c>
      <c r="O210" s="404">
        <f t="shared" si="35"/>
        <v>8178</v>
      </c>
      <c r="P210" s="404">
        <f t="shared" si="36"/>
        <v>2111</v>
      </c>
      <c r="Q210" s="463">
        <f t="shared" si="39"/>
        <v>11311</v>
      </c>
      <c r="R210" s="464">
        <v>3.3610000000000002</v>
      </c>
      <c r="S210" s="463">
        <f t="shared" si="40"/>
        <v>38016.271000000001</v>
      </c>
      <c r="T210" s="397" t="s">
        <v>256</v>
      </c>
    </row>
    <row r="211" spans="1:20" ht="15" hidden="1" x14ac:dyDescent="0.25">
      <c r="A211" s="398" t="s">
        <v>1928</v>
      </c>
      <c r="B211" s="398"/>
      <c r="C211" s="400" t="str">
        <f>+IFERROR(INDEX([4]IMPORTS!$E:$E,MATCH($A211,[4]IMPORTS!$C:$C,0)),"")</f>
        <v/>
      </c>
      <c r="D211" s="400" t="str">
        <f>+IFERROR(INDEX([4]IMPORTS!$F:$F,MATCH($A211,[4]IMPORTS!$C:$C,0)),"")</f>
        <v/>
      </c>
      <c r="E211" s="465" t="str">
        <f>+IFERROR(INDEX([4]IMPORTS!$AF:$AF,MATCH($A211,[4]IMPORTS!$C:$C,0)),"")</f>
        <v/>
      </c>
      <c r="F211" s="408" t="str">
        <f>+IFERROR(INDEX([4]IMPORTS!$Y:$Y,MATCH($A211,[4]IMPORTS!$C:$C,0)),"")</f>
        <v/>
      </c>
      <c r="G211" s="408" t="e">
        <f t="shared" si="37"/>
        <v>#VALUE!</v>
      </c>
      <c r="H211" s="402" t="str">
        <f>+IFERROR(INDEX([4]IMPORTS!$P:$P,MATCH($A211,[4]IMPORTS!$C:$C,0)),"")</f>
        <v/>
      </c>
      <c r="I211" s="408" t="str">
        <f>+IFERROR(INDEX([4]IMPORTS!$R:$R,MATCH($A211,[4]IMPORTS!$C:$C,0)),"")</f>
        <v/>
      </c>
      <c r="J211" s="409" t="str">
        <f>+IFERROR(INDEX([4]IMPORTS!$S:$S,MATCH($A211,[4]IMPORTS!$C:$C,0)),"")</f>
        <v/>
      </c>
      <c r="K211" s="403" t="e">
        <f t="shared" si="38"/>
        <v>#VALUE!</v>
      </c>
      <c r="L211" s="403" t="e">
        <f t="shared" si="32"/>
        <v>#VALUE!</v>
      </c>
      <c r="M211" s="403" t="e">
        <f t="shared" si="33"/>
        <v>#VALUE!</v>
      </c>
      <c r="N211" s="404" t="e">
        <f t="shared" si="34"/>
        <v>#VALUE!</v>
      </c>
      <c r="O211" s="404" t="e">
        <f t="shared" si="35"/>
        <v>#VALUE!</v>
      </c>
      <c r="P211" s="404" t="e">
        <f t="shared" si="36"/>
        <v>#VALUE!</v>
      </c>
      <c r="Q211" s="463" t="e">
        <f t="shared" si="39"/>
        <v>#VALUE!</v>
      </c>
      <c r="R211" s="464">
        <v>3.3610000000000002</v>
      </c>
      <c r="S211" s="463" t="e">
        <f t="shared" si="40"/>
        <v>#VALUE!</v>
      </c>
      <c r="T211" s="397" t="s">
        <v>256</v>
      </c>
    </row>
    <row r="212" spans="1:20" ht="15" hidden="1" x14ac:dyDescent="0.25">
      <c r="A212" s="398" t="s">
        <v>1929</v>
      </c>
      <c r="B212" s="398"/>
      <c r="C212" s="400" t="str">
        <f>+IFERROR(INDEX([4]IMPORTS!$E:$E,MATCH($A212,[4]IMPORTS!$C:$C,0)),"")</f>
        <v/>
      </c>
      <c r="D212" s="400" t="str">
        <f>+IFERROR(INDEX([4]IMPORTS!$F:$F,MATCH($A212,[4]IMPORTS!$C:$C,0)),"")</f>
        <v/>
      </c>
      <c r="E212" s="465" t="str">
        <f>+IFERROR(INDEX([4]IMPORTS!$AF:$AF,MATCH($A212,[4]IMPORTS!$C:$C,0)),"")</f>
        <v/>
      </c>
      <c r="F212" s="408" t="str">
        <f>+IFERROR(INDEX([4]IMPORTS!$Y:$Y,MATCH($A212,[4]IMPORTS!$C:$C,0)),"")</f>
        <v/>
      </c>
      <c r="G212" s="408" t="e">
        <f t="shared" si="37"/>
        <v>#VALUE!</v>
      </c>
      <c r="H212" s="402" t="str">
        <f>+IFERROR(INDEX([4]IMPORTS!$P:$P,MATCH($A212,[4]IMPORTS!$C:$C,0)),"")</f>
        <v/>
      </c>
      <c r="I212" s="408" t="str">
        <f>+IFERROR(INDEX([4]IMPORTS!$R:$R,MATCH($A212,[4]IMPORTS!$C:$C,0)),"")</f>
        <v/>
      </c>
      <c r="J212" s="409" t="str">
        <f>+IFERROR(INDEX([4]IMPORTS!$S:$S,MATCH($A212,[4]IMPORTS!$C:$C,0)),"")</f>
        <v/>
      </c>
      <c r="K212" s="403" t="e">
        <f t="shared" si="38"/>
        <v>#VALUE!</v>
      </c>
      <c r="L212" s="403" t="e">
        <f t="shared" si="32"/>
        <v>#VALUE!</v>
      </c>
      <c r="M212" s="403" t="e">
        <f t="shared" si="33"/>
        <v>#VALUE!</v>
      </c>
      <c r="N212" s="404" t="e">
        <f t="shared" si="34"/>
        <v>#VALUE!</v>
      </c>
      <c r="O212" s="404" t="e">
        <f t="shared" si="35"/>
        <v>#VALUE!</v>
      </c>
      <c r="P212" s="404" t="e">
        <f t="shared" si="36"/>
        <v>#VALUE!</v>
      </c>
      <c r="Q212" s="463" t="e">
        <f t="shared" si="39"/>
        <v>#VALUE!</v>
      </c>
      <c r="R212" s="464">
        <v>3.3610000000000002</v>
      </c>
      <c r="S212" s="463" t="e">
        <f t="shared" si="40"/>
        <v>#VALUE!</v>
      </c>
      <c r="T212" s="397" t="s">
        <v>256</v>
      </c>
    </row>
    <row r="213" spans="1:20" ht="15" hidden="1" x14ac:dyDescent="0.25">
      <c r="A213" s="398" t="s">
        <v>1932</v>
      </c>
      <c r="B213" s="398"/>
      <c r="C213" s="400" t="str">
        <f>+IFERROR(INDEX([4]IMPORTS!$E:$E,MATCH($A213,[4]IMPORTS!$C:$C,0)),"")</f>
        <v>YARATERA CALCINIT X 25KG</v>
      </c>
      <c r="D213" s="400" t="str">
        <f>+IFERROR(INDEX([4]IMPORTS!$F:$F,MATCH($A213,[4]IMPORTS!$C:$C,0)),"")</f>
        <v>YARA PERÚ SRL</v>
      </c>
      <c r="E213" s="465" t="str">
        <f>+IFERROR(INDEX([4]IMPORTS!$AF:$AF,MATCH($A213,[4]IMPORTS!$C:$C,0)),"")</f>
        <v>CALLAO</v>
      </c>
      <c r="F213" s="408">
        <f>+IFERROR(INDEX([4]IMPORTS!$Y:$Y,MATCH($A213,[4]IMPORTS!$C:$C,0)),"")</f>
        <v>44078</v>
      </c>
      <c r="G213" s="408">
        <f t="shared" si="37"/>
        <v>44076</v>
      </c>
      <c r="H213" s="402">
        <f>+IFERROR(INDEX([4]IMPORTS!$P:$P,MATCH($A213,[4]IMPORTS!$C:$C,0)),"")</f>
        <v>600</v>
      </c>
      <c r="I213" s="408" t="str">
        <f>+IFERROR(INDEX([4]IMPORTS!$R:$R,MATCH($A213,[4]IMPORTS!$C:$C,0)),"")</f>
        <v>CFR</v>
      </c>
      <c r="J213" s="409">
        <f>+IFERROR(INDEX([4]IMPORTS!$S:$S,MATCH($A213,[4]IMPORTS!$C:$C,0)),"")</f>
        <v>249.9</v>
      </c>
      <c r="K213" s="403">
        <f t="shared" si="38"/>
        <v>149940</v>
      </c>
      <c r="L213" s="403">
        <f t="shared" si="32"/>
        <v>164.934</v>
      </c>
      <c r="M213" s="403">
        <f t="shared" si="33"/>
        <v>150104.93400000001</v>
      </c>
      <c r="N213" s="404">
        <f t="shared" si="34"/>
        <v>3002</v>
      </c>
      <c r="O213" s="404">
        <f t="shared" si="35"/>
        <v>24017</v>
      </c>
      <c r="P213" s="404">
        <f t="shared" si="36"/>
        <v>6199</v>
      </c>
      <c r="Q213" s="463">
        <f t="shared" si="39"/>
        <v>33218</v>
      </c>
      <c r="R213" s="464">
        <v>3.3610000000000002</v>
      </c>
      <c r="S213" s="463">
        <f t="shared" si="40"/>
        <v>111645.698</v>
      </c>
      <c r="T213" s="397" t="s">
        <v>256</v>
      </c>
    </row>
    <row r="214" spans="1:20" ht="15" hidden="1" x14ac:dyDescent="0.25">
      <c r="A214" s="398" t="s">
        <v>1935</v>
      </c>
      <c r="B214" s="398"/>
      <c r="C214" s="400" t="str">
        <f>+IFERROR(INDEX([4]IMPORTS!$E:$E,MATCH($A214,[4]IMPORTS!$C:$C,0)),"")</f>
        <v>YARATERA CALCINIT X 25KG</v>
      </c>
      <c r="D214" s="400" t="str">
        <f>+IFERROR(INDEX([4]IMPORTS!$F:$F,MATCH($A214,[4]IMPORTS!$C:$C,0)),"")</f>
        <v>YARA PERÚ SRL</v>
      </c>
      <c r="E214" s="465" t="str">
        <f>+IFERROR(INDEX([4]IMPORTS!$AF:$AF,MATCH($A214,[4]IMPORTS!$C:$C,0)),"")</f>
        <v>PAITA</v>
      </c>
      <c r="F214" s="408">
        <f>+IFERROR(INDEX([4]IMPORTS!$Y:$Y,MATCH($A214,[4]IMPORTS!$C:$C,0)),"")</f>
        <v>44083</v>
      </c>
      <c r="G214" s="408">
        <f t="shared" si="37"/>
        <v>44081</v>
      </c>
      <c r="H214" s="402">
        <f>+IFERROR(INDEX([4]IMPORTS!$P:$P,MATCH($A214,[4]IMPORTS!$C:$C,0)),"")</f>
        <v>400</v>
      </c>
      <c r="I214" s="408" t="str">
        <f>+IFERROR(INDEX([4]IMPORTS!$R:$R,MATCH($A214,[4]IMPORTS!$C:$C,0)),"")</f>
        <v>CFR</v>
      </c>
      <c r="J214" s="409">
        <f>+IFERROR(INDEX([4]IMPORTS!$S:$S,MATCH($A214,[4]IMPORTS!$C:$C,0)),"")</f>
        <v>235.1</v>
      </c>
      <c r="K214" s="403">
        <f t="shared" si="38"/>
        <v>94040</v>
      </c>
      <c r="L214" s="403">
        <f t="shared" si="32"/>
        <v>103.444</v>
      </c>
      <c r="M214" s="403">
        <f t="shared" si="33"/>
        <v>94143.444000000003</v>
      </c>
      <c r="N214" s="404">
        <f t="shared" si="34"/>
        <v>1883</v>
      </c>
      <c r="O214" s="404">
        <f t="shared" si="35"/>
        <v>15063</v>
      </c>
      <c r="P214" s="404">
        <f t="shared" si="36"/>
        <v>3888</v>
      </c>
      <c r="Q214" s="463">
        <f t="shared" si="39"/>
        <v>20834</v>
      </c>
      <c r="R214" s="464">
        <v>3.3610000000000002</v>
      </c>
      <c r="S214" s="463">
        <f t="shared" si="40"/>
        <v>70023.074000000008</v>
      </c>
      <c r="T214" s="397" t="s">
        <v>256</v>
      </c>
    </row>
    <row r="215" spans="1:20" ht="15" hidden="1" x14ac:dyDescent="0.25">
      <c r="A215" s="398" t="s">
        <v>1936</v>
      </c>
      <c r="B215" s="398"/>
      <c r="C215" s="400" t="str">
        <f>+IFERROR(INDEX([4]IMPORTS!$E:$E,MATCH($A215,[4]IMPORTS!$C:$C,0)),"")</f>
        <v>YARATERA CALCINIT X 25KG</v>
      </c>
      <c r="D215" s="400" t="str">
        <f>+IFERROR(INDEX([4]IMPORTS!$F:$F,MATCH($A215,[4]IMPORTS!$C:$C,0)),"")</f>
        <v>YARA PERÚ SRL</v>
      </c>
      <c r="E215" s="465" t="str">
        <f>+IFERROR(INDEX([4]IMPORTS!$AF:$AF,MATCH($A215,[4]IMPORTS!$C:$C,0)),"")</f>
        <v>CALLAO</v>
      </c>
      <c r="F215" s="408">
        <f>+IFERROR(INDEX([4]IMPORTS!$Y:$Y,MATCH($A215,[4]IMPORTS!$C:$C,0)),"")</f>
        <v>44084</v>
      </c>
      <c r="G215" s="408">
        <f t="shared" si="37"/>
        <v>44082</v>
      </c>
      <c r="H215" s="402">
        <f>+IFERROR(INDEX([4]IMPORTS!$P:$P,MATCH($A215,[4]IMPORTS!$C:$C,0)),"")</f>
        <v>575</v>
      </c>
      <c r="I215" s="408" t="str">
        <f>+IFERROR(INDEX([4]IMPORTS!$R:$R,MATCH($A215,[4]IMPORTS!$C:$C,0)),"")</f>
        <v>CFR</v>
      </c>
      <c r="J215" s="409">
        <f>+IFERROR(INDEX([4]IMPORTS!$S:$S,MATCH($A215,[4]IMPORTS!$C:$C,0)),"")</f>
        <v>235.1</v>
      </c>
      <c r="K215" s="403">
        <f t="shared" si="38"/>
        <v>135182.5</v>
      </c>
      <c r="L215" s="403">
        <f t="shared" si="32"/>
        <v>148.70075</v>
      </c>
      <c r="M215" s="403">
        <f t="shared" si="33"/>
        <v>135331.20074999999</v>
      </c>
      <c r="N215" s="404">
        <f t="shared" si="34"/>
        <v>2707</v>
      </c>
      <c r="O215" s="404">
        <f t="shared" si="35"/>
        <v>21653</v>
      </c>
      <c r="P215" s="404">
        <f t="shared" si="36"/>
        <v>5589</v>
      </c>
      <c r="Q215" s="463">
        <f t="shared" si="39"/>
        <v>29949</v>
      </c>
      <c r="R215" s="464">
        <v>3.3610000000000002</v>
      </c>
      <c r="S215" s="463">
        <f t="shared" si="40"/>
        <v>100658.58900000001</v>
      </c>
      <c r="T215" s="397" t="s">
        <v>256</v>
      </c>
    </row>
    <row r="216" spans="1:20" ht="15" hidden="1" x14ac:dyDescent="0.25">
      <c r="A216" s="398" t="s">
        <v>1938</v>
      </c>
      <c r="B216" s="398"/>
      <c r="C216" s="400" t="str">
        <f>+IFERROR(INDEX([4]IMPORTS!$E:$E,MATCH($A216,[4]IMPORTS!$C:$C,0)),"")</f>
        <v>YARATERA CALCINIT X 25KG</v>
      </c>
      <c r="D216" s="400" t="str">
        <f>+IFERROR(INDEX([4]IMPORTS!$F:$F,MATCH($A216,[4]IMPORTS!$C:$C,0)),"")</f>
        <v>YARA PERÚ SRL</v>
      </c>
      <c r="E216" s="465" t="str">
        <f>+IFERROR(INDEX([4]IMPORTS!$AF:$AF,MATCH($A216,[4]IMPORTS!$C:$C,0)),"")</f>
        <v>MATARANI</v>
      </c>
      <c r="F216" s="408">
        <f>+IFERROR(INDEX([4]IMPORTS!$Y:$Y,MATCH($A216,[4]IMPORTS!$C:$C,0)),"")</f>
        <v>44092</v>
      </c>
      <c r="G216" s="408">
        <f t="shared" si="37"/>
        <v>44090</v>
      </c>
      <c r="H216" s="402">
        <f>+IFERROR(INDEX([4]IMPORTS!$P:$P,MATCH($A216,[4]IMPORTS!$C:$C,0)),"")</f>
        <v>50</v>
      </c>
      <c r="I216" s="408" t="str">
        <f>+IFERROR(INDEX([4]IMPORTS!$R:$R,MATCH($A216,[4]IMPORTS!$C:$C,0)),"")</f>
        <v>CFR</v>
      </c>
      <c r="J216" s="409">
        <f>+IFERROR(INDEX([4]IMPORTS!$S:$S,MATCH($A216,[4]IMPORTS!$C:$C,0)),"")</f>
        <v>249.9</v>
      </c>
      <c r="K216" s="403">
        <f t="shared" si="38"/>
        <v>12495</v>
      </c>
      <c r="L216" s="403">
        <f t="shared" si="32"/>
        <v>13.7445</v>
      </c>
      <c r="M216" s="403">
        <f t="shared" si="33"/>
        <v>12508.744500000001</v>
      </c>
      <c r="N216" s="404">
        <f t="shared" si="34"/>
        <v>250</v>
      </c>
      <c r="O216" s="404">
        <f t="shared" si="35"/>
        <v>2001</v>
      </c>
      <c r="P216" s="404">
        <f t="shared" si="36"/>
        <v>517</v>
      </c>
      <c r="Q216" s="463">
        <f t="shared" si="39"/>
        <v>2768</v>
      </c>
      <c r="R216" s="464">
        <v>3.3610000000000002</v>
      </c>
      <c r="S216" s="463">
        <f t="shared" si="40"/>
        <v>9303.2480000000014</v>
      </c>
      <c r="T216" s="397" t="s">
        <v>256</v>
      </c>
    </row>
    <row r="217" spans="1:20" ht="15" hidden="1" x14ac:dyDescent="0.25">
      <c r="A217" s="398" t="s">
        <v>3078</v>
      </c>
      <c r="B217" s="398"/>
      <c r="C217" s="400" t="str">
        <f>+IFERROR(INDEX([4]IMPORTS!$E:$E,MATCH($A217,[4]IMPORTS!$C:$C,0)),"")</f>
        <v xml:space="preserve">SULFATO DE MAGNESIO HEPTAHIDRATADO </v>
      </c>
      <c r="D217" s="400" t="str">
        <f>+IFERROR(INDEX([4]IMPORTS!$F:$F,MATCH($A217,[4]IMPORTS!$C:$C,0)),"")</f>
        <v>STAR GRACE MINING CO.,LTD</v>
      </c>
      <c r="E217" s="465" t="str">
        <f>+IFERROR(INDEX([4]IMPORTS!$AF:$AF,MATCH($A217,[4]IMPORTS!$C:$C,0)),"")</f>
        <v>PAITA</v>
      </c>
      <c r="F217" s="408">
        <f>+IFERROR(INDEX([4]IMPORTS!$Y:$Y,MATCH($A217,[4]IMPORTS!$C:$C,0)),"")</f>
        <v>44120</v>
      </c>
      <c r="G217" s="408">
        <f t="shared" si="37"/>
        <v>44118</v>
      </c>
      <c r="H217" s="402">
        <f>+IFERROR(INDEX([4]IMPORTS!$P:$P,MATCH($A217,[4]IMPORTS!$C:$C,0)),"")</f>
        <v>143</v>
      </c>
      <c r="I217" s="408" t="str">
        <f>+IFERROR(INDEX([4]IMPORTS!$R:$R,MATCH($A217,[4]IMPORTS!$C:$C,0)),"")</f>
        <v>CFR</v>
      </c>
      <c r="J217" s="409">
        <f>+IFERROR(INDEX([4]IMPORTS!$S:$S,MATCH($A217,[4]IMPORTS!$C:$C,0)),"")</f>
        <v>107</v>
      </c>
      <c r="K217" s="403">
        <f t="shared" si="38"/>
        <v>15301</v>
      </c>
      <c r="L217" s="403">
        <f t="shared" si="32"/>
        <v>16.831099999999999</v>
      </c>
      <c r="M217" s="403">
        <f t="shared" si="33"/>
        <v>15317.831099999999</v>
      </c>
      <c r="N217" s="404">
        <f t="shared" si="34"/>
        <v>306</v>
      </c>
      <c r="O217" s="404">
        <f t="shared" si="35"/>
        <v>2451</v>
      </c>
      <c r="P217" s="404">
        <f t="shared" si="36"/>
        <v>633</v>
      </c>
      <c r="Q217" s="463">
        <f t="shared" si="39"/>
        <v>3390</v>
      </c>
      <c r="R217" s="464">
        <v>3.3610000000000002</v>
      </c>
      <c r="S217" s="463">
        <f t="shared" si="40"/>
        <v>11393.79</v>
      </c>
      <c r="T217" s="397" t="s">
        <v>256</v>
      </c>
    </row>
    <row r="218" spans="1:20" ht="15" hidden="1" x14ac:dyDescent="0.25">
      <c r="A218" s="398" t="s">
        <v>2109</v>
      </c>
      <c r="B218" s="398"/>
      <c r="C218" s="400" t="str">
        <f>+IFERROR(INDEX([4]IMPORTS!$E:$E,MATCH($A218,[4]IMPORTS!$C:$C,0)),"")</f>
        <v xml:space="preserve">SULFATO DE MAGNESIO HEPTAHIDRATADO </v>
      </c>
      <c r="D218" s="400" t="str">
        <f>+IFERROR(INDEX([4]IMPORTS!$F:$F,MATCH($A218,[4]IMPORTS!$C:$C,0)),"")</f>
        <v>STAR GRACE MINING CO.,LTD</v>
      </c>
      <c r="E218" s="465" t="str">
        <f>+IFERROR(INDEX([4]IMPORTS!$AF:$AF,MATCH($A218,[4]IMPORTS!$C:$C,0)),"")</f>
        <v>PAITA</v>
      </c>
      <c r="F218" s="408">
        <f>+IFERROR(INDEX([4]IMPORTS!$Y:$Y,MATCH($A218,[4]IMPORTS!$C:$C,0)),"")</f>
        <v>44138</v>
      </c>
      <c r="G218" s="408">
        <f t="shared" si="37"/>
        <v>44136</v>
      </c>
      <c r="H218" s="402">
        <f>+IFERROR(INDEX([4]IMPORTS!$P:$P,MATCH($A218,[4]IMPORTS!$C:$C,0)),"")</f>
        <v>143</v>
      </c>
      <c r="I218" s="408" t="str">
        <f>+IFERROR(INDEX([4]IMPORTS!$R:$R,MATCH($A218,[4]IMPORTS!$C:$C,0)),"")</f>
        <v>CFR</v>
      </c>
      <c r="J218" s="409">
        <f>+IFERROR(INDEX([4]IMPORTS!$S:$S,MATCH($A218,[4]IMPORTS!$C:$C,0)),"")</f>
        <v>107</v>
      </c>
      <c r="K218" s="403">
        <f t="shared" si="38"/>
        <v>15301</v>
      </c>
      <c r="L218" s="403">
        <f t="shared" si="32"/>
        <v>16.831099999999999</v>
      </c>
      <c r="M218" s="403">
        <f t="shared" si="33"/>
        <v>15317.831099999999</v>
      </c>
      <c r="N218" s="404">
        <f t="shared" si="34"/>
        <v>306</v>
      </c>
      <c r="O218" s="404">
        <f t="shared" si="35"/>
        <v>2451</v>
      </c>
      <c r="P218" s="404">
        <f t="shared" si="36"/>
        <v>633</v>
      </c>
      <c r="Q218" s="463">
        <f t="shared" si="39"/>
        <v>3390</v>
      </c>
      <c r="R218" s="464">
        <v>3.3610000000000002</v>
      </c>
      <c r="S218" s="463">
        <f t="shared" si="40"/>
        <v>11393.79</v>
      </c>
      <c r="T218" s="397" t="s">
        <v>256</v>
      </c>
    </row>
    <row r="219" spans="1:20" ht="15" hidden="1" x14ac:dyDescent="0.25">
      <c r="A219" s="398" t="s">
        <v>1892</v>
      </c>
      <c r="B219" s="398"/>
      <c r="C219" s="400" t="str">
        <f>+IFERROR(INDEX([4]IMPORTS!$E:$E,MATCH($A219,[4]IMPORTS!$C:$C,0)),"")</f>
        <v>ÁCIDO FOSFÓRICO</v>
      </c>
      <c r="D219" s="400" t="str">
        <f>+IFERROR(INDEX([4]IMPORTS!$F:$F,MATCH($A219,[4]IMPORTS!$C:$C,0)),"")</f>
        <v>NEW CHINA CHEMICALS CO., LTD.</v>
      </c>
      <c r="E219" s="465" t="str">
        <f>+IFERROR(INDEX([4]IMPORTS!$AF:$AF,MATCH($A219,[4]IMPORTS!$C:$C,0)),"")</f>
        <v>PAITA</v>
      </c>
      <c r="F219" s="408">
        <f>+IFERROR(INDEX([4]IMPORTS!$Y:$Y,MATCH($A219,[4]IMPORTS!$C:$C,0)),"")</f>
        <v>44134</v>
      </c>
      <c r="G219" s="408">
        <f t="shared" si="37"/>
        <v>44132</v>
      </c>
      <c r="H219" s="402">
        <f>+IFERROR(INDEX([4]IMPORTS!$P:$P,MATCH($A219,[4]IMPORTS!$C:$C,0)),"")</f>
        <v>212.8</v>
      </c>
      <c r="I219" s="408" t="str">
        <f>+IFERROR(INDEX([4]IMPORTS!$R:$R,MATCH($A219,[4]IMPORTS!$C:$C,0)),"")</f>
        <v>CIF</v>
      </c>
      <c r="J219" s="409">
        <f>+IFERROR(INDEX([4]IMPORTS!$S:$S,MATCH($A219,[4]IMPORTS!$C:$C,0)),"")</f>
        <v>817</v>
      </c>
      <c r="K219" s="403">
        <f t="shared" si="38"/>
        <v>173857.6</v>
      </c>
      <c r="L219" s="403">
        <f t="shared" si="32"/>
        <v>191.24336000000002</v>
      </c>
      <c r="M219" s="403">
        <f t="shared" si="33"/>
        <v>174048.84336</v>
      </c>
      <c r="N219" s="404">
        <f t="shared" si="34"/>
        <v>3481</v>
      </c>
      <c r="O219" s="404">
        <f t="shared" si="35"/>
        <v>27848</v>
      </c>
      <c r="P219" s="404">
        <f t="shared" si="36"/>
        <v>7188</v>
      </c>
      <c r="Q219" s="463">
        <f t="shared" si="39"/>
        <v>38517</v>
      </c>
      <c r="R219" s="464">
        <v>3.3610000000000002</v>
      </c>
      <c r="S219" s="463">
        <f t="shared" si="40"/>
        <v>129455.637</v>
      </c>
      <c r="T219" s="397" t="s">
        <v>256</v>
      </c>
    </row>
    <row r="220" spans="1:20" ht="15" hidden="1" x14ac:dyDescent="0.25">
      <c r="A220" s="398" t="s">
        <v>1894</v>
      </c>
      <c r="B220" s="398"/>
      <c r="C220" s="400" t="str">
        <f>+IFERROR(INDEX([4]IMPORTS!$E:$E,MATCH($A220,[4]IMPORTS!$C:$C,0)),"")</f>
        <v>ÁCIDO FOSFÓRICO</v>
      </c>
      <c r="D220" s="400" t="str">
        <f>+IFERROR(INDEX([4]IMPORTS!$F:$F,MATCH($A220,[4]IMPORTS!$C:$C,0)),"")</f>
        <v>NEW CHINA CHEMICALS CO., LTD.</v>
      </c>
      <c r="E220" s="465" t="str">
        <f>+IFERROR(INDEX([4]IMPORTS!$AF:$AF,MATCH($A220,[4]IMPORTS!$C:$C,0)),"")</f>
        <v>CALLAO</v>
      </c>
      <c r="F220" s="408">
        <f>+IFERROR(INDEX([4]IMPORTS!$Y:$Y,MATCH($A220,[4]IMPORTS!$C:$C,0)),"")</f>
        <v>44121</v>
      </c>
      <c r="G220" s="408">
        <f t="shared" si="37"/>
        <v>44119</v>
      </c>
      <c r="H220" s="402">
        <f>+IFERROR(INDEX([4]IMPORTS!$P:$P,MATCH($A220,[4]IMPORTS!$C:$C,0)),"")</f>
        <v>212.8</v>
      </c>
      <c r="I220" s="408" t="str">
        <f>+IFERROR(INDEX([4]IMPORTS!$R:$R,MATCH($A220,[4]IMPORTS!$C:$C,0)),"")</f>
        <v>CIF</v>
      </c>
      <c r="J220" s="409">
        <f>+IFERROR(INDEX([4]IMPORTS!$S:$S,MATCH($A220,[4]IMPORTS!$C:$C,0)),"")</f>
        <v>807</v>
      </c>
      <c r="K220" s="403">
        <f t="shared" si="38"/>
        <v>171729.6</v>
      </c>
      <c r="L220" s="403">
        <f t="shared" si="32"/>
        <v>188.90256000000002</v>
      </c>
      <c r="M220" s="403">
        <f t="shared" si="33"/>
        <v>171918.50255999999</v>
      </c>
      <c r="N220" s="404">
        <f t="shared" si="34"/>
        <v>3438</v>
      </c>
      <c r="O220" s="404">
        <f t="shared" si="35"/>
        <v>27507</v>
      </c>
      <c r="P220" s="404">
        <f t="shared" si="36"/>
        <v>7100</v>
      </c>
      <c r="Q220" s="463">
        <f t="shared" si="39"/>
        <v>38045</v>
      </c>
      <c r="R220" s="464">
        <v>3.3610000000000002</v>
      </c>
      <c r="S220" s="463">
        <f t="shared" si="40"/>
        <v>127869.24500000001</v>
      </c>
      <c r="T220" s="397" t="s">
        <v>256</v>
      </c>
    </row>
    <row r="221" spans="1:20" ht="15" hidden="1" x14ac:dyDescent="0.25">
      <c r="A221" s="398" t="s">
        <v>1903</v>
      </c>
      <c r="B221" s="398"/>
      <c r="C221" s="400" t="str">
        <f>+IFERROR(INDEX([4]IMPORTS!$E:$E,MATCH($A221,[4]IMPORTS!$C:$C,0)),"")</f>
        <v>ÁCIDO FOSFÓRICO</v>
      </c>
      <c r="D221" s="400" t="str">
        <f>+IFERROR(INDEX([4]IMPORTS!$F:$F,MATCH($A221,[4]IMPORTS!$C:$C,0)),"")</f>
        <v>NEW CHINA CHEMICALS CO., LTD.</v>
      </c>
      <c r="E221" s="465" t="str">
        <f>+IFERROR(INDEX([4]IMPORTS!$AF:$AF,MATCH($A221,[4]IMPORTS!$C:$C,0)),"")</f>
        <v>MATARANI</v>
      </c>
      <c r="F221" s="408">
        <f>+IFERROR(INDEX([4]IMPORTS!$Y:$Y,MATCH($A221,[4]IMPORTS!$C:$C,0)),"")</f>
        <v>44152</v>
      </c>
      <c r="G221" s="408">
        <f t="shared" si="37"/>
        <v>44150</v>
      </c>
      <c r="H221" s="402">
        <f>+IFERROR(INDEX([4]IMPORTS!$P:$P,MATCH($A221,[4]IMPORTS!$C:$C,0)),"")</f>
        <v>186.2</v>
      </c>
      <c r="I221" s="408" t="str">
        <f>+IFERROR(INDEX([4]IMPORTS!$R:$R,MATCH($A221,[4]IMPORTS!$C:$C,0)),"")</f>
        <v>CIF</v>
      </c>
      <c r="J221" s="409">
        <f>+IFERROR(INDEX([4]IMPORTS!$S:$S,MATCH($A221,[4]IMPORTS!$C:$C,0)),"")</f>
        <v>837</v>
      </c>
      <c r="K221" s="403">
        <f t="shared" si="38"/>
        <v>155849.4</v>
      </c>
      <c r="L221" s="403">
        <f t="shared" si="32"/>
        <v>171.43433999999999</v>
      </c>
      <c r="M221" s="403">
        <f t="shared" si="33"/>
        <v>156020.83434</v>
      </c>
      <c r="N221" s="404">
        <f t="shared" si="34"/>
        <v>3120</v>
      </c>
      <c r="O221" s="404">
        <f t="shared" si="35"/>
        <v>24963</v>
      </c>
      <c r="P221" s="404">
        <f t="shared" si="36"/>
        <v>6444</v>
      </c>
      <c r="Q221" s="463">
        <f t="shared" si="39"/>
        <v>34527</v>
      </c>
      <c r="R221" s="464">
        <v>3.3610000000000002</v>
      </c>
      <c r="S221" s="463">
        <f t="shared" si="40"/>
        <v>116045.247</v>
      </c>
      <c r="T221" s="397" t="s">
        <v>256</v>
      </c>
    </row>
    <row r="222" spans="1:20" ht="15" hidden="1" x14ac:dyDescent="0.25">
      <c r="A222" s="398" t="s">
        <v>1983</v>
      </c>
      <c r="B222" s="398"/>
      <c r="C222" s="400" t="str">
        <f>+IFERROR(INDEX([4]IMPORTS!$E:$E,MATCH($A222,[4]IMPORTS!$C:$C,0)),"")</f>
        <v>SULFATO DE MAGNESIO HEPTAHIDRATADO ORG X 25KG - EPSOTOP</v>
      </c>
      <c r="D222" s="400" t="str">
        <f>+IFERROR(INDEX([4]IMPORTS!$F:$F,MATCH($A222,[4]IMPORTS!$C:$C,0)),"")</f>
        <v>K+S Minerals and Agriculture GmbH</v>
      </c>
      <c r="E222" s="465" t="str">
        <f>+IFERROR(INDEX([4]IMPORTS!$AF:$AF,MATCH($A222,[4]IMPORTS!$C:$C,0)),"")</f>
        <v>CALLAO</v>
      </c>
      <c r="F222" s="408">
        <f>+IFERROR(INDEX([4]IMPORTS!$Y:$Y,MATCH($A222,[4]IMPORTS!$C:$C,0)),"")</f>
        <v>44120</v>
      </c>
      <c r="G222" s="408">
        <f t="shared" si="37"/>
        <v>44118</v>
      </c>
      <c r="H222" s="402">
        <f>+IFERROR(INDEX([4]IMPORTS!$P:$P,MATCH($A222,[4]IMPORTS!$C:$C,0)),"")</f>
        <v>21</v>
      </c>
      <c r="I222" s="408" t="str">
        <f>+IFERROR(INDEX([4]IMPORTS!$R:$R,MATCH($A222,[4]IMPORTS!$C:$C,0)),"")</f>
        <v>CPT</v>
      </c>
      <c r="J222" s="409">
        <f>+IFERROR(INDEX([4]IMPORTS!$S:$S,MATCH($A222,[4]IMPORTS!$C:$C,0)),"")</f>
        <v>310</v>
      </c>
      <c r="K222" s="403">
        <f t="shared" si="38"/>
        <v>6510</v>
      </c>
      <c r="L222" s="403">
        <f t="shared" si="32"/>
        <v>7.1610000000000005</v>
      </c>
      <c r="M222" s="403">
        <f t="shared" si="33"/>
        <v>6517.1610000000001</v>
      </c>
      <c r="N222" s="404">
        <f t="shared" si="34"/>
        <v>130</v>
      </c>
      <c r="O222" s="404">
        <f t="shared" si="35"/>
        <v>1043</v>
      </c>
      <c r="P222" s="404">
        <f t="shared" si="36"/>
        <v>269</v>
      </c>
      <c r="Q222" s="463">
        <f t="shared" si="39"/>
        <v>1442</v>
      </c>
      <c r="R222" s="464">
        <v>3.3610000000000002</v>
      </c>
      <c r="S222" s="463">
        <f t="shared" si="40"/>
        <v>4846.5619999999999</v>
      </c>
      <c r="T222" s="397" t="s">
        <v>256</v>
      </c>
    </row>
    <row r="223" spans="1:20" ht="15" hidden="1" x14ac:dyDescent="0.25">
      <c r="A223" s="398" t="s">
        <v>1984</v>
      </c>
      <c r="B223" s="398"/>
      <c r="C223" s="400" t="str">
        <f>+IFERROR(INDEX([4]IMPORTS!$E:$E,MATCH($A223,[4]IMPORTS!$C:$C,0)),"")</f>
        <v>SULFATO DE MAGNESIO HEPTAHIDRATADO ORG X 25KG - EPSOTOP</v>
      </c>
      <c r="D223" s="400" t="str">
        <f>+IFERROR(INDEX([4]IMPORTS!$F:$F,MATCH($A223,[4]IMPORTS!$C:$C,0)),"")</f>
        <v>K+S Minerals and Agriculture GmbH</v>
      </c>
      <c r="E223" s="465" t="str">
        <f>+IFERROR(INDEX([4]IMPORTS!$AF:$AF,MATCH($A223,[4]IMPORTS!$C:$C,0)),"")</f>
        <v>PAITA</v>
      </c>
      <c r="F223" s="408">
        <f>+IFERROR(INDEX([4]IMPORTS!$Y:$Y,MATCH($A223,[4]IMPORTS!$C:$C,0)),"")</f>
        <v>44118</v>
      </c>
      <c r="G223" s="408">
        <f t="shared" si="37"/>
        <v>44116</v>
      </c>
      <c r="H223" s="402">
        <f>+IFERROR(INDEX([4]IMPORTS!$P:$P,MATCH($A223,[4]IMPORTS!$C:$C,0)),"")</f>
        <v>63</v>
      </c>
      <c r="I223" s="408" t="str">
        <f>+IFERROR(INDEX([4]IMPORTS!$R:$R,MATCH($A223,[4]IMPORTS!$C:$C,0)),"")</f>
        <v>CPT</v>
      </c>
      <c r="J223" s="409">
        <f>+IFERROR(INDEX([4]IMPORTS!$S:$S,MATCH($A223,[4]IMPORTS!$C:$C,0)),"")</f>
        <v>315</v>
      </c>
      <c r="K223" s="403">
        <f t="shared" si="38"/>
        <v>19845</v>
      </c>
      <c r="L223" s="403">
        <f t="shared" si="32"/>
        <v>21.829500000000003</v>
      </c>
      <c r="M223" s="403">
        <f t="shared" si="33"/>
        <v>19866.8295</v>
      </c>
      <c r="N223" s="404">
        <f t="shared" si="34"/>
        <v>397</v>
      </c>
      <c r="O223" s="404">
        <f t="shared" si="35"/>
        <v>3179</v>
      </c>
      <c r="P223" s="404">
        <f t="shared" si="36"/>
        <v>820</v>
      </c>
      <c r="Q223" s="463">
        <f t="shared" si="39"/>
        <v>4396</v>
      </c>
      <c r="R223" s="464">
        <v>3.3610000000000002</v>
      </c>
      <c r="S223" s="463">
        <f t="shared" si="40"/>
        <v>14774.956</v>
      </c>
      <c r="T223" s="397" t="s">
        <v>256</v>
      </c>
    </row>
    <row r="224" spans="1:20" ht="15" hidden="1" x14ac:dyDescent="0.25">
      <c r="A224" s="398" t="s">
        <v>1985</v>
      </c>
      <c r="B224" s="398"/>
      <c r="C224" s="400" t="str">
        <f>+IFERROR(INDEX([4]IMPORTS!$E:$E,MATCH($A224,[4]IMPORTS!$C:$C,0)),"")</f>
        <v>NITRATO DE MAGNESIO HEXAHIDRATADO</v>
      </c>
      <c r="D224" s="400" t="str">
        <f>+IFERROR(INDEX([4]IMPORTS!$F:$F,MATCH($A224,[4]IMPORTS!$C:$C,0)),"")</f>
        <v>MITSUI &amp; CO., Ltda</v>
      </c>
      <c r="E224" s="465" t="str">
        <f>+IFERROR(INDEX([4]IMPORTS!$AF:$AF,MATCH($A224,[4]IMPORTS!$C:$C,0)),"")</f>
        <v>CALLAO</v>
      </c>
      <c r="F224" s="408">
        <f>+IFERROR(INDEX([4]IMPORTS!$Y:$Y,MATCH($A224,[4]IMPORTS!$C:$C,0)),"")</f>
        <v>44161</v>
      </c>
      <c r="G224" s="408">
        <f t="shared" si="37"/>
        <v>44159</v>
      </c>
      <c r="H224" s="402">
        <f>+IFERROR(INDEX([4]IMPORTS!$P:$P,MATCH($A224,[4]IMPORTS!$C:$C,0)),"")</f>
        <v>165</v>
      </c>
      <c r="I224" s="408" t="str">
        <f>+IFERROR(INDEX([4]IMPORTS!$R:$R,MATCH($A224,[4]IMPORTS!$C:$C,0)),"")</f>
        <v>CFR</v>
      </c>
      <c r="J224" s="409">
        <f>+IFERROR(INDEX([4]IMPORTS!$S:$S,MATCH($A224,[4]IMPORTS!$C:$C,0)),"")</f>
        <v>225</v>
      </c>
      <c r="K224" s="403">
        <f t="shared" si="38"/>
        <v>37125</v>
      </c>
      <c r="L224" s="403">
        <f t="shared" si="32"/>
        <v>40.837500000000006</v>
      </c>
      <c r="M224" s="403">
        <f t="shared" si="33"/>
        <v>37165.837500000001</v>
      </c>
      <c r="N224" s="404">
        <f t="shared" si="34"/>
        <v>743</v>
      </c>
      <c r="O224" s="404">
        <f t="shared" si="35"/>
        <v>5947</v>
      </c>
      <c r="P224" s="404">
        <f t="shared" si="36"/>
        <v>1535</v>
      </c>
      <c r="Q224" s="463">
        <f t="shared" si="39"/>
        <v>8225</v>
      </c>
      <c r="R224" s="464">
        <v>3.3610000000000002</v>
      </c>
      <c r="S224" s="463">
        <f t="shared" si="40"/>
        <v>27644.225000000002</v>
      </c>
      <c r="T224" s="397" t="s">
        <v>256</v>
      </c>
    </row>
    <row r="225" spans="1:20" ht="15" hidden="1" x14ac:dyDescent="0.25">
      <c r="A225" s="398" t="s">
        <v>1986</v>
      </c>
      <c r="B225" s="398"/>
      <c r="C225" s="400" t="str">
        <f>+IFERROR(INDEX([4]IMPORTS!$E:$E,MATCH($A225,[4]IMPORTS!$C:$C,0)),"")</f>
        <v xml:space="preserve">SULFATO DE MAGNESIO HEPTAHIDRATADO </v>
      </c>
      <c r="D225" s="400" t="str">
        <f>+IFERROR(INDEX([4]IMPORTS!$F:$F,MATCH($A225,[4]IMPORTS!$C:$C,0)),"")</f>
        <v>YARA SWITZERLAND LTD</v>
      </c>
      <c r="E225" s="465" t="str">
        <f>+IFERROR(INDEX([4]IMPORTS!$AF:$AF,MATCH($A225,[4]IMPORTS!$C:$C,0)),"")</f>
        <v>PAITA</v>
      </c>
      <c r="F225" s="408">
        <f>+IFERROR(INDEX([4]IMPORTS!$Y:$Y,MATCH($A225,[4]IMPORTS!$C:$C,0)),"")</f>
        <v>44162</v>
      </c>
      <c r="G225" s="408">
        <f t="shared" si="37"/>
        <v>44160</v>
      </c>
      <c r="H225" s="402">
        <f>+IFERROR(INDEX([4]IMPORTS!$P:$P,MATCH($A225,[4]IMPORTS!$C:$C,0)),"")</f>
        <v>708</v>
      </c>
      <c r="I225" s="408" t="str">
        <f>+IFERROR(INDEX([4]IMPORTS!$R:$R,MATCH($A225,[4]IMPORTS!$C:$C,0)),"")</f>
        <v>CFR</v>
      </c>
      <c r="J225" s="409">
        <f>+IFERROR(INDEX([4]IMPORTS!$S:$S,MATCH($A225,[4]IMPORTS!$C:$C,0)),"")</f>
        <v>118</v>
      </c>
      <c r="K225" s="403">
        <f t="shared" si="38"/>
        <v>83544</v>
      </c>
      <c r="L225" s="403">
        <f t="shared" si="32"/>
        <v>91.898400000000009</v>
      </c>
      <c r="M225" s="403">
        <f t="shared" si="33"/>
        <v>83635.898400000005</v>
      </c>
      <c r="N225" s="404">
        <f t="shared" si="34"/>
        <v>1673</v>
      </c>
      <c r="O225" s="404">
        <f t="shared" si="35"/>
        <v>13382</v>
      </c>
      <c r="P225" s="404">
        <f t="shared" si="36"/>
        <v>3454</v>
      </c>
      <c r="Q225" s="463">
        <f t="shared" si="39"/>
        <v>18509</v>
      </c>
      <c r="R225" s="464">
        <v>3.3610000000000002</v>
      </c>
      <c r="S225" s="463">
        <f t="shared" si="40"/>
        <v>62208.749000000003</v>
      </c>
      <c r="T225" s="397" t="s">
        <v>256</v>
      </c>
    </row>
    <row r="226" spans="1:20" ht="15" hidden="1" x14ac:dyDescent="0.25">
      <c r="A226" s="398" t="s">
        <v>2009</v>
      </c>
      <c r="B226" s="398"/>
      <c r="C226" s="400" t="str">
        <f>+IFERROR(INDEX([4]IMPORTS!$E:$E,MATCH($A226,[4]IMPORTS!$C:$C,0)),"")</f>
        <v>YARALIVA NITRABOR A GRANEL</v>
      </c>
      <c r="D226" s="400" t="str">
        <f>+IFERROR(INDEX([4]IMPORTS!$F:$F,MATCH($A226,[4]IMPORTS!$C:$C,0)),"")</f>
        <v>YARA PERÚ SRL</v>
      </c>
      <c r="E226" s="465" t="str">
        <f>+IFERROR(INDEX([4]IMPORTS!$AF:$AF,MATCH($A226,[4]IMPORTS!$C:$C,0)),"")</f>
        <v>PAITA</v>
      </c>
      <c r="F226" s="408">
        <f>+IFERROR(INDEX([4]IMPORTS!$Y:$Y,MATCH($A226,[4]IMPORTS!$C:$C,0)),"")</f>
        <v>44118</v>
      </c>
      <c r="G226" s="408">
        <f t="shared" si="37"/>
        <v>44116</v>
      </c>
      <c r="H226" s="402">
        <f>+IFERROR(INDEX([4]IMPORTS!$P:$P,MATCH($A226,[4]IMPORTS!$C:$C,0)),"")</f>
        <v>52.95</v>
      </c>
      <c r="I226" s="408" t="str">
        <f>+IFERROR(INDEX([4]IMPORTS!$R:$R,MATCH($A226,[4]IMPORTS!$C:$C,0)),"")</f>
        <v>CFR</v>
      </c>
      <c r="J226" s="409">
        <f>+IFERROR(INDEX([4]IMPORTS!$S:$S,MATCH($A226,[4]IMPORTS!$C:$C,0)),"")</f>
        <v>274.32</v>
      </c>
      <c r="K226" s="403">
        <f t="shared" si="38"/>
        <v>14525.244000000001</v>
      </c>
      <c r="L226" s="403">
        <f t="shared" si="32"/>
        <v>15.977768400000002</v>
      </c>
      <c r="M226" s="403">
        <f t="shared" si="33"/>
        <v>14541.221768400001</v>
      </c>
      <c r="N226" s="404">
        <f t="shared" si="34"/>
        <v>291</v>
      </c>
      <c r="O226" s="404">
        <f t="shared" si="35"/>
        <v>2327</v>
      </c>
      <c r="P226" s="404">
        <f t="shared" si="36"/>
        <v>601</v>
      </c>
      <c r="Q226" s="463">
        <f t="shared" si="39"/>
        <v>3219</v>
      </c>
      <c r="R226" s="464">
        <v>3.3610000000000002</v>
      </c>
      <c r="S226" s="463">
        <f t="shared" si="40"/>
        <v>10819.059000000001</v>
      </c>
      <c r="T226" s="397" t="s">
        <v>256</v>
      </c>
    </row>
    <row r="227" spans="1:20" ht="15" hidden="1" x14ac:dyDescent="0.25">
      <c r="A227" s="398" t="s">
        <v>2035</v>
      </c>
      <c r="B227" s="398"/>
      <c r="C227" s="400" t="str">
        <f>+IFERROR(INDEX([4]IMPORTS!$E:$E,MATCH($A227,[4]IMPORTS!$C:$C,0)),"")</f>
        <v>YARALIVA NITRABOR A GRANEL</v>
      </c>
      <c r="D227" s="400" t="str">
        <f>+IFERROR(INDEX([4]IMPORTS!$F:$F,MATCH($A227,[4]IMPORTS!$C:$C,0)),"")</f>
        <v>YARA PERÚ SRL</v>
      </c>
      <c r="E227" s="465" t="str">
        <f>+IFERROR(INDEX([4]IMPORTS!$AF:$AF,MATCH($A227,[4]IMPORTS!$C:$C,0)),"")</f>
        <v>CALLAO</v>
      </c>
      <c r="F227" s="408">
        <f>+IFERROR(INDEX([4]IMPORTS!$Y:$Y,MATCH($A227,[4]IMPORTS!$C:$C,0)),"")</f>
        <v>44120</v>
      </c>
      <c r="G227" s="408">
        <f t="shared" si="37"/>
        <v>44118</v>
      </c>
      <c r="H227" s="402">
        <f>+IFERROR(INDEX([4]IMPORTS!$P:$P,MATCH($A227,[4]IMPORTS!$C:$C,0)),"")</f>
        <v>133.315</v>
      </c>
      <c r="I227" s="408" t="str">
        <f>+IFERROR(INDEX([4]IMPORTS!$R:$R,MATCH($A227,[4]IMPORTS!$C:$C,0)),"")</f>
        <v>CFR</v>
      </c>
      <c r="J227" s="409">
        <f>+IFERROR(INDEX([4]IMPORTS!$S:$S,MATCH($A227,[4]IMPORTS!$C:$C,0)),"")</f>
        <v>272.02</v>
      </c>
      <c r="K227" s="403">
        <f t="shared" si="38"/>
        <v>36264.346299999997</v>
      </c>
      <c r="L227" s="403">
        <f t="shared" si="32"/>
        <v>39.890780929999998</v>
      </c>
      <c r="M227" s="403">
        <f t="shared" si="33"/>
        <v>36304.237080929997</v>
      </c>
      <c r="N227" s="404">
        <f t="shared" si="34"/>
        <v>726</v>
      </c>
      <c r="O227" s="404">
        <f t="shared" si="35"/>
        <v>5809</v>
      </c>
      <c r="P227" s="404">
        <f t="shared" si="36"/>
        <v>1499</v>
      </c>
      <c r="Q227" s="463">
        <f t="shared" si="39"/>
        <v>8034</v>
      </c>
      <c r="R227" s="464">
        <v>3.3610000000000002</v>
      </c>
      <c r="S227" s="463">
        <f t="shared" si="40"/>
        <v>27002.274000000001</v>
      </c>
      <c r="T227" s="397" t="s">
        <v>256</v>
      </c>
    </row>
    <row r="228" spans="1:20" ht="15" hidden="1" x14ac:dyDescent="0.25">
      <c r="A228" s="398" t="s">
        <v>2132</v>
      </c>
      <c r="B228" s="398"/>
      <c r="C228" s="400" t="str">
        <f>+IFERROR(INDEX([4]IMPORTS!$E:$E,MATCH($A228,[4]IMPORTS!$C:$C,0)),"")</f>
        <v/>
      </c>
      <c r="D228" s="400" t="str">
        <f>+IFERROR(INDEX([4]IMPORTS!$F:$F,MATCH($A228,[4]IMPORTS!$C:$C,0)),"")</f>
        <v/>
      </c>
      <c r="E228" s="465" t="str">
        <f>+IFERROR(INDEX([4]IMPORTS!$AF:$AF,MATCH($A228,[4]IMPORTS!$C:$C,0)),"")</f>
        <v/>
      </c>
      <c r="F228" s="408" t="str">
        <f>+IFERROR(INDEX([4]IMPORTS!$Y:$Y,MATCH($A228,[4]IMPORTS!$C:$C,0)),"")</f>
        <v/>
      </c>
      <c r="G228" s="408" t="e">
        <f t="shared" si="37"/>
        <v>#VALUE!</v>
      </c>
      <c r="H228" s="402" t="str">
        <f>+IFERROR(INDEX([4]IMPORTS!$P:$P,MATCH($A228,[4]IMPORTS!$C:$C,0)),"")</f>
        <v/>
      </c>
      <c r="I228" s="408" t="str">
        <f>+IFERROR(INDEX([4]IMPORTS!$R:$R,MATCH($A228,[4]IMPORTS!$C:$C,0)),"")</f>
        <v/>
      </c>
      <c r="J228" s="409" t="str">
        <f>+IFERROR(INDEX([4]IMPORTS!$S:$S,MATCH($A228,[4]IMPORTS!$C:$C,0)),"")</f>
        <v/>
      </c>
      <c r="K228" s="403" t="e">
        <f t="shared" si="38"/>
        <v>#VALUE!</v>
      </c>
      <c r="L228" s="403" t="e">
        <f t="shared" si="32"/>
        <v>#VALUE!</v>
      </c>
      <c r="M228" s="403" t="e">
        <f t="shared" si="33"/>
        <v>#VALUE!</v>
      </c>
      <c r="N228" s="404" t="e">
        <f t="shared" si="34"/>
        <v>#VALUE!</v>
      </c>
      <c r="O228" s="404" t="e">
        <f t="shared" si="35"/>
        <v>#VALUE!</v>
      </c>
      <c r="P228" s="404" t="e">
        <f t="shared" si="36"/>
        <v>#VALUE!</v>
      </c>
      <c r="Q228" s="463" t="e">
        <f t="shared" si="39"/>
        <v>#VALUE!</v>
      </c>
      <c r="R228" s="464">
        <v>3.3610000000000002</v>
      </c>
      <c r="S228" s="463" t="e">
        <f t="shared" si="40"/>
        <v>#VALUE!</v>
      </c>
      <c r="T228" s="397" t="s">
        <v>256</v>
      </c>
    </row>
    <row r="229" spans="1:20" ht="15" hidden="1" x14ac:dyDescent="0.25">
      <c r="A229" s="398" t="s">
        <v>2307</v>
      </c>
      <c r="B229" s="398"/>
      <c r="C229" s="400" t="str">
        <f>+IFERROR(INDEX([4]IMPORTS!$E:$E,MATCH($A229,[4]IMPORTS!$C:$C,0)),"")</f>
        <v>ÁCIDO FOSFÓRICO</v>
      </c>
      <c r="D229" s="400" t="str">
        <f>+IFERROR(INDEX([4]IMPORTS!$F:$F,MATCH($A229,[4]IMPORTS!$C:$C,0)),"")</f>
        <v>NEW CHINA CHEMICALS CO., LTD.</v>
      </c>
      <c r="E229" s="465" t="str">
        <f>+IFERROR(INDEX([4]IMPORTS!$AF:$AF,MATCH($A229,[4]IMPORTS!$C:$C,0)),"")</f>
        <v>CALLAO</v>
      </c>
      <c r="F229" s="408">
        <f>+IFERROR(INDEX([4]IMPORTS!$Y:$Y,MATCH($A229,[4]IMPORTS!$C:$C,0)),"")</f>
        <v>44163</v>
      </c>
      <c r="G229" s="408">
        <f t="shared" si="37"/>
        <v>44161</v>
      </c>
      <c r="H229" s="402">
        <f>+IFERROR(INDEX([4]IMPORTS!$P:$P,MATCH($A229,[4]IMPORTS!$C:$C,0)),"")</f>
        <v>212.8</v>
      </c>
      <c r="I229" s="408" t="str">
        <f>+IFERROR(INDEX([4]IMPORTS!$R:$R,MATCH($A229,[4]IMPORTS!$C:$C,0)),"")</f>
        <v>CIF</v>
      </c>
      <c r="J229" s="409">
        <f>+IFERROR(INDEX([4]IMPORTS!$S:$S,MATCH($A229,[4]IMPORTS!$C:$C,0)),"")</f>
        <v>807</v>
      </c>
      <c r="K229" s="403">
        <f t="shared" si="38"/>
        <v>171729.6</v>
      </c>
      <c r="L229" s="403">
        <f t="shared" si="32"/>
        <v>188.90256000000002</v>
      </c>
      <c r="M229" s="403">
        <f t="shared" si="33"/>
        <v>171918.50255999999</v>
      </c>
      <c r="N229" s="404">
        <f t="shared" si="34"/>
        <v>3438</v>
      </c>
      <c r="O229" s="404">
        <f t="shared" si="35"/>
        <v>27507</v>
      </c>
      <c r="P229" s="404">
        <f t="shared" si="36"/>
        <v>7100</v>
      </c>
      <c r="Q229" s="463">
        <f t="shared" si="39"/>
        <v>38045</v>
      </c>
      <c r="R229" s="464">
        <v>3.3610000000000002</v>
      </c>
      <c r="S229" s="463">
        <f t="shared" si="40"/>
        <v>127869.24500000001</v>
      </c>
      <c r="T229" s="397" t="s">
        <v>256</v>
      </c>
    </row>
    <row r="230" spans="1:20" ht="15" hidden="1" x14ac:dyDescent="0.25">
      <c r="A230" s="398" t="s">
        <v>1991</v>
      </c>
      <c r="B230" s="398"/>
      <c r="C230" s="400" t="str">
        <f>+IFERROR(INDEX([4]IMPORTS!$E:$E,MATCH($A230,[4]IMPORTS!$C:$C,0)),"")</f>
        <v>FOSFATO MONOPOTASICO (MKP) X 25KG</v>
      </c>
      <c r="D230" s="400" t="str">
        <f>+IFERROR(INDEX([4]IMPORTS!$F:$F,MATCH($A230,[4]IMPORTS!$C:$C,0)),"")</f>
        <v>AMEROPA</v>
      </c>
      <c r="E230" s="465" t="str">
        <f>+IFERROR(INDEX([4]IMPORTS!$AF:$AF,MATCH($A230,[4]IMPORTS!$C:$C,0)),"")</f>
        <v>PAITA</v>
      </c>
      <c r="F230" s="408">
        <f>+IFERROR(INDEX([4]IMPORTS!$Y:$Y,MATCH($A230,[4]IMPORTS!$C:$C,0)),"")</f>
        <v>44153</v>
      </c>
      <c r="G230" s="408">
        <f t="shared" si="37"/>
        <v>44151</v>
      </c>
      <c r="H230" s="402">
        <f>+IFERROR(INDEX([4]IMPORTS!$P:$P,MATCH($A230,[4]IMPORTS!$C:$C,0)),"")</f>
        <v>195</v>
      </c>
      <c r="I230" s="408" t="str">
        <f>+IFERROR(INDEX([4]IMPORTS!$R:$R,MATCH($A230,[4]IMPORTS!$C:$C,0)),"")</f>
        <v>CFR</v>
      </c>
      <c r="J230" s="409">
        <f>+IFERROR(INDEX([4]IMPORTS!$S:$S,MATCH($A230,[4]IMPORTS!$C:$C,0)),"")</f>
        <v>1047</v>
      </c>
      <c r="K230" s="403">
        <f t="shared" si="38"/>
        <v>204165</v>
      </c>
      <c r="L230" s="403">
        <f t="shared" si="32"/>
        <v>224.58150000000001</v>
      </c>
      <c r="M230" s="403">
        <f t="shared" si="33"/>
        <v>204389.5815</v>
      </c>
      <c r="N230" s="404">
        <f t="shared" si="34"/>
        <v>4088</v>
      </c>
      <c r="O230" s="404">
        <f t="shared" si="35"/>
        <v>32702</v>
      </c>
      <c r="P230" s="404">
        <f t="shared" si="36"/>
        <v>8441</v>
      </c>
      <c r="Q230" s="463">
        <f t="shared" si="39"/>
        <v>45231</v>
      </c>
      <c r="R230" s="464">
        <v>3.3610000000000002</v>
      </c>
      <c r="S230" s="463">
        <f t="shared" si="40"/>
        <v>152021.391</v>
      </c>
      <c r="T230" s="397" t="s">
        <v>256</v>
      </c>
    </row>
    <row r="231" spans="1:20" ht="15" hidden="1" x14ac:dyDescent="0.25">
      <c r="A231" s="398" t="s">
        <v>1992</v>
      </c>
      <c r="B231" s="398"/>
      <c r="C231" s="400" t="str">
        <f>+IFERROR(INDEX([4]IMPORTS!$E:$E,MATCH($A231,[4]IMPORTS!$C:$C,0)),"")</f>
        <v>FOSFATO MONOPOTASICO (MKP) X 25KG</v>
      </c>
      <c r="D231" s="400" t="str">
        <f>+IFERROR(INDEX([4]IMPORTS!$F:$F,MATCH($A231,[4]IMPORTS!$C:$C,0)),"")</f>
        <v>AMEROPA</v>
      </c>
      <c r="E231" s="465" t="str">
        <f>+IFERROR(INDEX([4]IMPORTS!$AF:$AF,MATCH($A231,[4]IMPORTS!$C:$C,0)),"")</f>
        <v>CALLAO</v>
      </c>
      <c r="F231" s="408">
        <f>+IFERROR(INDEX([4]IMPORTS!$Y:$Y,MATCH($A231,[4]IMPORTS!$C:$C,0)),"")</f>
        <v>44161</v>
      </c>
      <c r="G231" s="408">
        <f t="shared" si="37"/>
        <v>44159</v>
      </c>
      <c r="H231" s="402">
        <f>+IFERROR(INDEX([4]IMPORTS!$P:$P,MATCH($A231,[4]IMPORTS!$C:$C,0)),"")</f>
        <v>97.5</v>
      </c>
      <c r="I231" s="408" t="str">
        <f>+IFERROR(INDEX([4]IMPORTS!$R:$R,MATCH($A231,[4]IMPORTS!$C:$C,0)),"")</f>
        <v>CFR</v>
      </c>
      <c r="J231" s="409">
        <f>+IFERROR(INDEX([4]IMPORTS!$S:$S,MATCH($A231,[4]IMPORTS!$C:$C,0)),"")</f>
        <v>1047</v>
      </c>
      <c r="K231" s="403">
        <f t="shared" si="38"/>
        <v>102082.5</v>
      </c>
      <c r="L231" s="403">
        <f t="shared" si="32"/>
        <v>112.29075</v>
      </c>
      <c r="M231" s="403">
        <f t="shared" si="33"/>
        <v>102194.79075</v>
      </c>
      <c r="N231" s="404">
        <f t="shared" si="34"/>
        <v>2044</v>
      </c>
      <c r="O231" s="404">
        <f t="shared" si="35"/>
        <v>16351</v>
      </c>
      <c r="P231" s="404">
        <f t="shared" si="36"/>
        <v>4221</v>
      </c>
      <c r="Q231" s="463">
        <f t="shared" si="39"/>
        <v>22616</v>
      </c>
      <c r="R231" s="464">
        <v>3.3610000000000002</v>
      </c>
      <c r="S231" s="463">
        <f t="shared" si="40"/>
        <v>76012.376000000004</v>
      </c>
      <c r="T231" s="397" t="s">
        <v>256</v>
      </c>
    </row>
    <row r="232" spans="1:20" ht="15" hidden="1" x14ac:dyDescent="0.25">
      <c r="A232" s="398" t="s">
        <v>2281</v>
      </c>
      <c r="B232" s="398"/>
      <c r="C232" s="400" t="str">
        <f>+IFERROR(INDEX([4]IMPORTS!$E:$E,MATCH($A232,[4]IMPORTS!$C:$C,0)),"")</f>
        <v>SULFATO FERROSO HEPTAHIDRATADO</v>
      </c>
      <c r="D232" s="400" t="str">
        <f>+IFERROR(INDEX([4]IMPORTS!$F:$F,MATCH($A232,[4]IMPORTS!$C:$C,0)),"")</f>
        <v>AMEROPA</v>
      </c>
      <c r="E232" s="465" t="str">
        <f>+IFERROR(INDEX([4]IMPORTS!$AF:$AF,MATCH($A232,[4]IMPORTS!$C:$C,0)),"")</f>
        <v>PAITA</v>
      </c>
      <c r="F232" s="408">
        <f>+IFERROR(INDEX([4]IMPORTS!$Y:$Y,MATCH($A232,[4]IMPORTS!$C:$C,0)),"")</f>
        <v>44153</v>
      </c>
      <c r="G232" s="408">
        <f t="shared" si="37"/>
        <v>44151</v>
      </c>
      <c r="H232" s="402">
        <f>+IFERROR(INDEX([4]IMPORTS!$P:$P,MATCH($A232,[4]IMPORTS!$C:$C,0)),"")</f>
        <v>48.75</v>
      </c>
      <c r="I232" s="408" t="str">
        <f>+IFERROR(INDEX([4]IMPORTS!$R:$R,MATCH($A232,[4]IMPORTS!$C:$C,0)),"")</f>
        <v>CFR</v>
      </c>
      <c r="J232" s="409">
        <f>+IFERROR(INDEX([4]IMPORTS!$S:$S,MATCH($A232,[4]IMPORTS!$C:$C,0)),"")</f>
        <v>110</v>
      </c>
      <c r="K232" s="403">
        <f t="shared" si="38"/>
        <v>5362.5</v>
      </c>
      <c r="L232" s="403">
        <f t="shared" si="32"/>
        <v>5.8987500000000006</v>
      </c>
      <c r="M232" s="403">
        <f t="shared" si="33"/>
        <v>5368.3987500000003</v>
      </c>
      <c r="N232" s="404">
        <f t="shared" si="34"/>
        <v>107</v>
      </c>
      <c r="O232" s="404">
        <f t="shared" si="35"/>
        <v>859</v>
      </c>
      <c r="P232" s="404">
        <f t="shared" si="36"/>
        <v>222</v>
      </c>
      <c r="Q232" s="463">
        <f t="shared" si="39"/>
        <v>1188</v>
      </c>
      <c r="R232" s="464">
        <v>3.3610000000000002</v>
      </c>
      <c r="S232" s="463">
        <f t="shared" si="40"/>
        <v>3992.8680000000004</v>
      </c>
      <c r="T232" s="397" t="s">
        <v>256</v>
      </c>
    </row>
    <row r="233" spans="1:20" ht="15" hidden="1" x14ac:dyDescent="0.25">
      <c r="A233" s="398" t="s">
        <v>2282</v>
      </c>
      <c r="B233" s="398"/>
      <c r="C233" s="400" t="str">
        <f>+IFERROR(INDEX([4]IMPORTS!$E:$E,MATCH($A233,[4]IMPORTS!$C:$C,0)),"")</f>
        <v>SULFATO FERROSO HEPTAHIDRATADO</v>
      </c>
      <c r="D233" s="400" t="str">
        <f>+IFERROR(INDEX([4]IMPORTS!$F:$F,MATCH($A233,[4]IMPORTS!$C:$C,0)),"")</f>
        <v>AMEROPA</v>
      </c>
      <c r="E233" s="465" t="str">
        <f>+IFERROR(INDEX([4]IMPORTS!$AF:$AF,MATCH($A233,[4]IMPORTS!$C:$C,0)),"")</f>
        <v>SALAVERRY</v>
      </c>
      <c r="F233" s="408">
        <f>+IFERROR(INDEX([4]IMPORTS!$Y:$Y,MATCH($A233,[4]IMPORTS!$C:$C,0)),"")</f>
        <v>44156</v>
      </c>
      <c r="G233" s="408">
        <f t="shared" si="37"/>
        <v>44154</v>
      </c>
      <c r="H233" s="402">
        <f>+IFERROR(INDEX([4]IMPORTS!$P:$P,MATCH($A233,[4]IMPORTS!$C:$C,0)),"")</f>
        <v>68.75</v>
      </c>
      <c r="I233" s="408" t="str">
        <f>+IFERROR(INDEX([4]IMPORTS!$R:$R,MATCH($A233,[4]IMPORTS!$C:$C,0)),"")</f>
        <v>CFR</v>
      </c>
      <c r="J233" s="409">
        <f>+IFERROR(INDEX([4]IMPORTS!$S:$S,MATCH($A233,[4]IMPORTS!$C:$C,0)),"")</f>
        <v>110</v>
      </c>
      <c r="K233" s="403">
        <f t="shared" si="38"/>
        <v>7562.5</v>
      </c>
      <c r="L233" s="403">
        <f t="shared" si="32"/>
        <v>8.3187499999999996</v>
      </c>
      <c r="M233" s="403">
        <f t="shared" si="33"/>
        <v>7570.8187500000004</v>
      </c>
      <c r="N233" s="404">
        <f t="shared" si="34"/>
        <v>151</v>
      </c>
      <c r="O233" s="404">
        <f t="shared" si="35"/>
        <v>1211</v>
      </c>
      <c r="P233" s="404">
        <f t="shared" si="36"/>
        <v>313</v>
      </c>
      <c r="Q233" s="463">
        <f t="shared" si="39"/>
        <v>1675</v>
      </c>
      <c r="R233" s="464">
        <v>3.3610000000000002</v>
      </c>
      <c r="S233" s="463">
        <f t="shared" si="40"/>
        <v>5629.6750000000002</v>
      </c>
      <c r="T233" s="397" t="s">
        <v>256</v>
      </c>
    </row>
    <row r="234" spans="1:20" ht="15" hidden="1" x14ac:dyDescent="0.25">
      <c r="A234" s="398" t="s">
        <v>2283</v>
      </c>
      <c r="B234" s="398"/>
      <c r="C234" s="400" t="str">
        <f>+IFERROR(INDEX([4]IMPORTS!$E:$E,MATCH($A234,[4]IMPORTS!$C:$C,0)),"")</f>
        <v>SULFATO FERROSO HEPTAHIDRATADO</v>
      </c>
      <c r="D234" s="400" t="str">
        <f>+IFERROR(INDEX([4]IMPORTS!$F:$F,MATCH($A234,[4]IMPORTS!$C:$C,0)),"")</f>
        <v>AMEROPA</v>
      </c>
      <c r="E234" s="465" t="str">
        <f>+IFERROR(INDEX([4]IMPORTS!$AF:$AF,MATCH($A234,[4]IMPORTS!$C:$C,0)),"")</f>
        <v>CALLAO</v>
      </c>
      <c r="F234" s="408">
        <f>+IFERROR(INDEX([4]IMPORTS!$Y:$Y,MATCH($A234,[4]IMPORTS!$C:$C,0)),"")</f>
        <v>44161</v>
      </c>
      <c r="G234" s="408">
        <f t="shared" si="37"/>
        <v>44159</v>
      </c>
      <c r="H234" s="402">
        <f>+IFERROR(INDEX([4]IMPORTS!$P:$P,MATCH($A234,[4]IMPORTS!$C:$C,0)),"")</f>
        <v>48.75</v>
      </c>
      <c r="I234" s="408" t="str">
        <f>+IFERROR(INDEX([4]IMPORTS!$R:$R,MATCH($A234,[4]IMPORTS!$C:$C,0)),"")</f>
        <v>CFR</v>
      </c>
      <c r="J234" s="409">
        <f>+IFERROR(INDEX([4]IMPORTS!$S:$S,MATCH($A234,[4]IMPORTS!$C:$C,0)),"")</f>
        <v>110</v>
      </c>
      <c r="K234" s="403">
        <f t="shared" si="38"/>
        <v>5362.5</v>
      </c>
      <c r="L234" s="403">
        <f t="shared" si="32"/>
        <v>5.8987500000000006</v>
      </c>
      <c r="M234" s="403">
        <f t="shared" si="33"/>
        <v>5368.3987500000003</v>
      </c>
      <c r="N234" s="404">
        <f t="shared" si="34"/>
        <v>107</v>
      </c>
      <c r="O234" s="404">
        <f t="shared" si="35"/>
        <v>859</v>
      </c>
      <c r="P234" s="404">
        <f t="shared" si="36"/>
        <v>222</v>
      </c>
      <c r="Q234" s="463">
        <f t="shared" si="39"/>
        <v>1188</v>
      </c>
      <c r="R234" s="464">
        <v>3.3610000000000002</v>
      </c>
      <c r="S234" s="463">
        <f t="shared" si="40"/>
        <v>3992.8680000000004</v>
      </c>
      <c r="T234" s="397" t="s">
        <v>256</v>
      </c>
    </row>
    <row r="235" spans="1:20" ht="15" hidden="1" x14ac:dyDescent="0.25">
      <c r="A235" s="398" t="s">
        <v>2284</v>
      </c>
      <c r="B235" s="398"/>
      <c r="C235" s="400" t="str">
        <f>+IFERROR(INDEX([4]IMPORTS!$E:$E,MATCH($A235,[4]IMPORTS!$C:$C,0)),"")</f>
        <v>SULFATO FERROSO HEPTAHIDRATADO</v>
      </c>
      <c r="D235" s="400" t="str">
        <f>+IFERROR(INDEX([4]IMPORTS!$F:$F,MATCH($A235,[4]IMPORTS!$C:$C,0)),"")</f>
        <v>AMEROPA</v>
      </c>
      <c r="E235" s="465" t="str">
        <f>+IFERROR(INDEX([4]IMPORTS!$AF:$AF,MATCH($A235,[4]IMPORTS!$C:$C,0)),"")</f>
        <v>PISCO</v>
      </c>
      <c r="F235" s="408">
        <f>+IFERROR(INDEX([4]IMPORTS!$Y:$Y,MATCH($A235,[4]IMPORTS!$C:$C,0)),"")</f>
        <v>44163</v>
      </c>
      <c r="G235" s="408">
        <f t="shared" si="37"/>
        <v>44161</v>
      </c>
      <c r="H235" s="402">
        <f>+IFERROR(INDEX([4]IMPORTS!$P:$P,MATCH($A235,[4]IMPORTS!$C:$C,0)),"")</f>
        <v>28.75</v>
      </c>
      <c r="I235" s="408" t="str">
        <f>+IFERROR(INDEX([4]IMPORTS!$R:$R,MATCH($A235,[4]IMPORTS!$C:$C,0)),"")</f>
        <v>CFR</v>
      </c>
      <c r="J235" s="409">
        <f>+IFERROR(INDEX([4]IMPORTS!$S:$S,MATCH($A235,[4]IMPORTS!$C:$C,0)),"")</f>
        <v>110</v>
      </c>
      <c r="K235" s="403">
        <f t="shared" si="38"/>
        <v>3162.5</v>
      </c>
      <c r="L235" s="403">
        <f t="shared" si="32"/>
        <v>3.4787500000000002</v>
      </c>
      <c r="M235" s="403">
        <f t="shared" si="33"/>
        <v>3165.9787500000002</v>
      </c>
      <c r="N235" s="404">
        <f t="shared" si="34"/>
        <v>63</v>
      </c>
      <c r="O235" s="404">
        <f t="shared" si="35"/>
        <v>507</v>
      </c>
      <c r="P235" s="404">
        <f t="shared" si="36"/>
        <v>131</v>
      </c>
      <c r="Q235" s="463">
        <f t="shared" si="39"/>
        <v>701</v>
      </c>
      <c r="R235" s="464">
        <v>3.3610000000000002</v>
      </c>
      <c r="S235" s="463">
        <f t="shared" si="40"/>
        <v>2356.0610000000001</v>
      </c>
      <c r="T235" s="397" t="s">
        <v>256</v>
      </c>
    </row>
    <row r="236" spans="1:20" ht="15" hidden="1" x14ac:dyDescent="0.25">
      <c r="A236" s="398" t="s">
        <v>1994</v>
      </c>
      <c r="B236" s="398"/>
      <c r="C236" s="400" t="str">
        <f>+IFERROR(INDEX([4]IMPORTS!$E:$E,MATCH($A236,[4]IMPORTS!$C:$C,0)),"")</f>
        <v>SULFATO DE MAGNESIO MONOHIDRATADO GRANULAR (KIESERITA)</v>
      </c>
      <c r="D236" s="400" t="str">
        <f>+IFERROR(INDEX([4]IMPORTS!$F:$F,MATCH($A236,[4]IMPORTS!$C:$C,0)),"")</f>
        <v>AMEROPA</v>
      </c>
      <c r="E236" s="465" t="str">
        <f>+IFERROR(INDEX([4]IMPORTS!$AF:$AF,MATCH($A236,[4]IMPORTS!$C:$C,0)),"")</f>
        <v>SALAVERRY</v>
      </c>
      <c r="F236" s="408">
        <f>+IFERROR(INDEX([4]IMPORTS!$Y:$Y,MATCH($A236,[4]IMPORTS!$C:$C,0)),"")</f>
        <v>44156</v>
      </c>
      <c r="G236" s="408">
        <f t="shared" si="37"/>
        <v>44154</v>
      </c>
      <c r="H236" s="402">
        <f>+IFERROR(INDEX([4]IMPORTS!$P:$P,MATCH($A236,[4]IMPORTS!$C:$C,0)),"")</f>
        <v>140.4</v>
      </c>
      <c r="I236" s="408" t="str">
        <f>+IFERROR(INDEX([4]IMPORTS!$R:$R,MATCH($A236,[4]IMPORTS!$C:$C,0)),"")</f>
        <v>CFR</v>
      </c>
      <c r="J236" s="409">
        <f>+IFERROR(INDEX([4]IMPORTS!$S:$S,MATCH($A236,[4]IMPORTS!$C:$C,0)),"")</f>
        <v>125</v>
      </c>
      <c r="K236" s="403">
        <f t="shared" si="38"/>
        <v>17550</v>
      </c>
      <c r="L236" s="403">
        <f t="shared" si="32"/>
        <v>19.305</v>
      </c>
      <c r="M236" s="403">
        <f t="shared" si="33"/>
        <v>17569.305</v>
      </c>
      <c r="N236" s="404">
        <f t="shared" si="34"/>
        <v>351</v>
      </c>
      <c r="O236" s="404">
        <f t="shared" si="35"/>
        <v>2811</v>
      </c>
      <c r="P236" s="404">
        <f t="shared" si="36"/>
        <v>726</v>
      </c>
      <c r="Q236" s="463">
        <f t="shared" si="39"/>
        <v>3888</v>
      </c>
      <c r="R236" s="464">
        <v>3.3610000000000002</v>
      </c>
      <c r="S236" s="463">
        <f t="shared" si="40"/>
        <v>13067.568000000001</v>
      </c>
      <c r="T236" s="397" t="s">
        <v>256</v>
      </c>
    </row>
    <row r="237" spans="1:20" ht="15" hidden="1" x14ac:dyDescent="0.25">
      <c r="A237" s="398" t="s">
        <v>1995</v>
      </c>
      <c r="B237" s="398"/>
      <c r="C237" s="400" t="str">
        <f>+IFERROR(INDEX([4]IMPORTS!$E:$E,MATCH($A237,[4]IMPORTS!$C:$C,0)),"")</f>
        <v>SULFATO DE MAGNESIO MONOHIDRATADO GRANULAR (KIESERITA)</v>
      </c>
      <c r="D237" s="400" t="str">
        <f>+IFERROR(INDEX([4]IMPORTS!$F:$F,MATCH($A237,[4]IMPORTS!$C:$C,0)),"")</f>
        <v>AMEROPA</v>
      </c>
      <c r="E237" s="465" t="str">
        <f>+IFERROR(INDEX([4]IMPORTS!$AF:$AF,MATCH($A237,[4]IMPORTS!$C:$C,0)),"")</f>
        <v>CALLAO</v>
      </c>
      <c r="F237" s="408">
        <f>+IFERROR(INDEX([4]IMPORTS!$Y:$Y,MATCH($A237,[4]IMPORTS!$C:$C,0)),"")</f>
        <v>44161</v>
      </c>
      <c r="G237" s="408">
        <f t="shared" si="37"/>
        <v>44159</v>
      </c>
      <c r="H237" s="402">
        <f>+IFERROR(INDEX([4]IMPORTS!$P:$P,MATCH($A237,[4]IMPORTS!$C:$C,0)),"")</f>
        <v>299</v>
      </c>
      <c r="I237" s="408" t="str">
        <f>+IFERROR(INDEX([4]IMPORTS!$R:$R,MATCH($A237,[4]IMPORTS!$C:$C,0)),"")</f>
        <v>CFR</v>
      </c>
      <c r="J237" s="409">
        <f>+IFERROR(INDEX([4]IMPORTS!$S:$S,MATCH($A237,[4]IMPORTS!$C:$C,0)),"")</f>
        <v>125</v>
      </c>
      <c r="K237" s="403">
        <f t="shared" si="38"/>
        <v>37375</v>
      </c>
      <c r="L237" s="403">
        <f t="shared" si="32"/>
        <v>41.112500000000004</v>
      </c>
      <c r="M237" s="403">
        <f t="shared" si="33"/>
        <v>37416.112500000003</v>
      </c>
      <c r="N237" s="404">
        <f t="shared" si="34"/>
        <v>748</v>
      </c>
      <c r="O237" s="404">
        <f t="shared" si="35"/>
        <v>5987</v>
      </c>
      <c r="P237" s="404">
        <f t="shared" si="36"/>
        <v>1545</v>
      </c>
      <c r="Q237" s="463">
        <f t="shared" si="39"/>
        <v>8280</v>
      </c>
      <c r="R237" s="464">
        <v>3.3610000000000002</v>
      </c>
      <c r="S237" s="463">
        <f t="shared" si="40"/>
        <v>27829.08</v>
      </c>
      <c r="T237" s="397" t="s">
        <v>256</v>
      </c>
    </row>
    <row r="238" spans="1:20" ht="15" hidden="1" x14ac:dyDescent="0.25">
      <c r="A238" s="398" t="s">
        <v>2066</v>
      </c>
      <c r="B238" s="398"/>
      <c r="C238" s="400" t="str">
        <f>+IFERROR(INDEX([4]IMPORTS!$E:$E,MATCH($A238,[4]IMPORTS!$C:$C,0)),"")</f>
        <v xml:space="preserve">SULFATO DE MAGNESIO HEPTAHIDRATADO </v>
      </c>
      <c r="D238" s="400" t="str">
        <f>+IFERROR(INDEX([4]IMPORTS!$F:$F,MATCH($A238,[4]IMPORTS!$C:$C,0)),"")</f>
        <v>STAR GRACE MINING CO.,LTD</v>
      </c>
      <c r="E238" s="465" t="str">
        <f>+IFERROR(INDEX([4]IMPORTS!$AF:$AF,MATCH($A238,[4]IMPORTS!$C:$C,0)),"")</f>
        <v>PAITA</v>
      </c>
      <c r="F238" s="408">
        <f>+IFERROR(INDEX([4]IMPORTS!$Y:$Y,MATCH($A238,[4]IMPORTS!$C:$C,0)),"")</f>
        <v>44162</v>
      </c>
      <c r="G238" s="408">
        <f t="shared" si="37"/>
        <v>44160</v>
      </c>
      <c r="H238" s="402">
        <f>+IFERROR(INDEX([4]IMPORTS!$P:$P,MATCH($A238,[4]IMPORTS!$C:$C,0)),"")</f>
        <v>1200</v>
      </c>
      <c r="I238" s="408" t="str">
        <f>+IFERROR(INDEX([4]IMPORTS!$R:$R,MATCH($A238,[4]IMPORTS!$C:$C,0)),"")</f>
        <v>CFR</v>
      </c>
      <c r="J238" s="409">
        <f>+IFERROR(INDEX([4]IMPORTS!$S:$S,MATCH($A238,[4]IMPORTS!$C:$C,0)),"")</f>
        <v>115.5</v>
      </c>
      <c r="K238" s="403">
        <f t="shared" si="38"/>
        <v>138600</v>
      </c>
      <c r="L238" s="403">
        <f t="shared" si="32"/>
        <v>152.46</v>
      </c>
      <c r="M238" s="403">
        <f t="shared" si="33"/>
        <v>138752.46</v>
      </c>
      <c r="N238" s="404">
        <f t="shared" si="34"/>
        <v>2775</v>
      </c>
      <c r="O238" s="404">
        <f t="shared" si="35"/>
        <v>22200</v>
      </c>
      <c r="P238" s="404">
        <f t="shared" si="36"/>
        <v>5730</v>
      </c>
      <c r="Q238" s="463">
        <f t="shared" si="39"/>
        <v>30705</v>
      </c>
      <c r="R238" s="464">
        <v>3.3610000000000002</v>
      </c>
      <c r="S238" s="463">
        <f t="shared" si="40"/>
        <v>103199.505</v>
      </c>
      <c r="T238" s="397" t="s">
        <v>256</v>
      </c>
    </row>
    <row r="239" spans="1:20" ht="15" hidden="1" x14ac:dyDescent="0.25">
      <c r="A239" s="398" t="s">
        <v>2069</v>
      </c>
      <c r="B239" s="398"/>
      <c r="C239" s="400" t="str">
        <f>+IFERROR(INDEX([4]IMPORTS!$E:$E,MATCH($A239,[4]IMPORTS!$C:$C,0)),"")</f>
        <v>YARATERA REXOLIN X60 X5KG</v>
      </c>
      <c r="D239" s="400" t="str">
        <f>+IFERROR(INDEX([4]IMPORTS!$F:$F,MATCH($A239,[4]IMPORTS!$C:$C,0)),"")</f>
        <v>YARA PERÚ SRL</v>
      </c>
      <c r="E239" s="465" t="str">
        <f>+IFERROR(INDEX([4]IMPORTS!$AF:$AF,MATCH($A239,[4]IMPORTS!$C:$C,0)),"")</f>
        <v>PAITA</v>
      </c>
      <c r="F239" s="408">
        <f>+IFERROR(INDEX([4]IMPORTS!$Y:$Y,MATCH($A239,[4]IMPORTS!$C:$C,0)),"")</f>
        <v>44159</v>
      </c>
      <c r="G239" s="408">
        <f t="shared" si="37"/>
        <v>44157</v>
      </c>
      <c r="H239" s="402">
        <f>+IFERROR(INDEX([4]IMPORTS!$P:$P,MATCH($A239,[4]IMPORTS!$C:$C,0)),"")</f>
        <v>15.74</v>
      </c>
      <c r="I239" s="408" t="str">
        <f>+IFERROR(INDEX([4]IMPORTS!$R:$R,MATCH($A239,[4]IMPORTS!$C:$C,0)),"")</f>
        <v>CFR</v>
      </c>
      <c r="J239" s="409">
        <f>+IFERROR(INDEX([4]IMPORTS!$S:$S,MATCH($A239,[4]IMPORTS!$C:$C,0)),"")</f>
        <v>9560</v>
      </c>
      <c r="K239" s="403">
        <f t="shared" si="38"/>
        <v>150474.4</v>
      </c>
      <c r="L239" s="403">
        <f t="shared" si="32"/>
        <v>165.52184</v>
      </c>
      <c r="M239" s="403">
        <f t="shared" si="33"/>
        <v>150639.92184</v>
      </c>
      <c r="N239" s="404">
        <f t="shared" si="34"/>
        <v>3013</v>
      </c>
      <c r="O239" s="404">
        <f t="shared" si="35"/>
        <v>24102</v>
      </c>
      <c r="P239" s="404">
        <f t="shared" si="36"/>
        <v>6221</v>
      </c>
      <c r="Q239" s="463">
        <f t="shared" si="39"/>
        <v>33336</v>
      </c>
      <c r="R239" s="464">
        <v>3.3610000000000002</v>
      </c>
      <c r="S239" s="463">
        <f t="shared" si="40"/>
        <v>112042.296</v>
      </c>
      <c r="T239" s="397" t="s">
        <v>256</v>
      </c>
    </row>
    <row r="240" spans="1:20" ht="15" hidden="1" x14ac:dyDescent="0.25">
      <c r="A240" s="398" t="s">
        <v>2073</v>
      </c>
      <c r="B240" s="398"/>
      <c r="C240" s="400" t="str">
        <f>+IFERROR(INDEX([4]IMPORTS!$E:$E,MATCH($A240,[4]IMPORTS!$C:$C,0)),"")</f>
        <v>SULFATO DE ZINC HEPTAHIDRATADO</v>
      </c>
      <c r="D240" s="400" t="str">
        <f>+IFERROR(INDEX([4]IMPORTS!$F:$F,MATCH($A240,[4]IMPORTS!$C:$C,0)),"")</f>
        <v>WEGROW AG</v>
      </c>
      <c r="E240" s="465" t="str">
        <f>+IFERROR(INDEX([4]IMPORTS!$AF:$AF,MATCH($A240,[4]IMPORTS!$C:$C,0)),"")</f>
        <v>PAITA</v>
      </c>
      <c r="F240" s="408">
        <f>+IFERROR(INDEX([4]IMPORTS!$Y:$Y,MATCH($A240,[4]IMPORTS!$C:$C,0)),"")</f>
        <v>44162</v>
      </c>
      <c r="G240" s="408">
        <f t="shared" si="37"/>
        <v>44160</v>
      </c>
      <c r="H240" s="402">
        <f>+IFERROR(INDEX([4]IMPORTS!$P:$P,MATCH($A240,[4]IMPORTS!$C:$C,0)),"")</f>
        <v>13.75</v>
      </c>
      <c r="I240" s="408" t="str">
        <f>+IFERROR(INDEX([4]IMPORTS!$R:$R,MATCH($A240,[4]IMPORTS!$C:$C,0)),"")</f>
        <v>CFR</v>
      </c>
      <c r="J240" s="409">
        <f>+IFERROR(INDEX([4]IMPORTS!$S:$S,MATCH($A240,[4]IMPORTS!$C:$C,0)),"")</f>
        <v>458</v>
      </c>
      <c r="K240" s="403">
        <f t="shared" si="38"/>
        <v>6297.5</v>
      </c>
      <c r="L240" s="403">
        <f t="shared" si="32"/>
        <v>6.9272500000000008</v>
      </c>
      <c r="M240" s="403">
        <f t="shared" si="33"/>
        <v>6304.4272499999997</v>
      </c>
      <c r="N240" s="404">
        <f t="shared" si="34"/>
        <v>126</v>
      </c>
      <c r="O240" s="404">
        <f t="shared" si="35"/>
        <v>1009</v>
      </c>
      <c r="P240" s="404">
        <f t="shared" si="36"/>
        <v>260</v>
      </c>
      <c r="Q240" s="463">
        <f t="shared" si="39"/>
        <v>1395</v>
      </c>
      <c r="R240" s="464">
        <v>3.3610000000000002</v>
      </c>
      <c r="S240" s="463">
        <f t="shared" si="40"/>
        <v>4688.5950000000003</v>
      </c>
      <c r="T240" s="397" t="s">
        <v>256</v>
      </c>
    </row>
    <row r="241" spans="1:21" ht="15" hidden="1" x14ac:dyDescent="0.25">
      <c r="A241" s="398" t="s">
        <v>2134</v>
      </c>
      <c r="B241" s="398"/>
      <c r="C241" s="400" t="str">
        <f>+IFERROR(INDEX([4]IMPORTS!$E:$E,MATCH($A241,[4]IMPORTS!$C:$C,0)),"")</f>
        <v>YARALIVA NITRABOR A GRANEL</v>
      </c>
      <c r="D241" s="400" t="str">
        <f>+IFERROR(INDEX([4]IMPORTS!$F:$F,MATCH($A241,[4]IMPORTS!$C:$C,0)),"")</f>
        <v>YARA PERÚ SRL</v>
      </c>
      <c r="E241" s="465" t="str">
        <f>+IFERROR(INDEX([4]IMPORTS!$AF:$AF,MATCH($A241,[4]IMPORTS!$C:$C,0)),"")</f>
        <v>PAITA</v>
      </c>
      <c r="F241" s="408">
        <f>+IFERROR(INDEX([4]IMPORTS!$Y:$Y,MATCH($A241,[4]IMPORTS!$C:$C,0)),"")</f>
        <v>44153</v>
      </c>
      <c r="G241" s="408">
        <f t="shared" si="37"/>
        <v>44151</v>
      </c>
      <c r="H241" s="402">
        <f>+IFERROR(INDEX([4]IMPORTS!$P:$P,MATCH($A241,[4]IMPORTS!$C:$C,0)),"")</f>
        <v>79.504999999999995</v>
      </c>
      <c r="I241" s="408" t="str">
        <f>+IFERROR(INDEX([4]IMPORTS!$R:$R,MATCH($A241,[4]IMPORTS!$C:$C,0)),"")</f>
        <v>CFR</v>
      </c>
      <c r="J241" s="409">
        <f>+IFERROR(INDEX([4]IMPORTS!$S:$S,MATCH($A241,[4]IMPORTS!$C:$C,0)),"")</f>
        <v>275.10000000000002</v>
      </c>
      <c r="K241" s="403">
        <f t="shared" si="38"/>
        <v>21871.825499999999</v>
      </c>
      <c r="L241" s="403">
        <f t="shared" si="32"/>
        <v>24.059008049999999</v>
      </c>
      <c r="M241" s="403">
        <f t="shared" si="33"/>
        <v>21895.88450805</v>
      </c>
      <c r="N241" s="404">
        <f t="shared" si="34"/>
        <v>438</v>
      </c>
      <c r="O241" s="404">
        <f t="shared" si="35"/>
        <v>3503</v>
      </c>
      <c r="P241" s="404">
        <f t="shared" si="36"/>
        <v>904</v>
      </c>
      <c r="Q241" s="463">
        <f t="shared" si="39"/>
        <v>4845</v>
      </c>
      <c r="R241" s="464">
        <v>3.3610000000000002</v>
      </c>
      <c r="S241" s="463">
        <f t="shared" si="40"/>
        <v>16284.045000000002</v>
      </c>
      <c r="T241" s="397" t="s">
        <v>256</v>
      </c>
    </row>
    <row r="242" spans="1:21" ht="15" hidden="1" x14ac:dyDescent="0.25">
      <c r="A242" s="398" t="s">
        <v>2332</v>
      </c>
      <c r="B242" s="398"/>
      <c r="C242" s="400" t="str">
        <f>+IFERROR(INDEX([4]IMPORTS!$E:$E,MATCH($A242,[4]IMPORTS!$C:$C,0)),"")</f>
        <v>YARATERA CALCINIT X 25KG</v>
      </c>
      <c r="D242" s="400" t="str">
        <f>+IFERROR(INDEX([4]IMPORTS!$F:$F,MATCH($A242,[4]IMPORTS!$C:$C,0)),"")</f>
        <v>YARA PERÚ SRL</v>
      </c>
      <c r="E242" s="465" t="str">
        <f>+IFERROR(INDEX([4]IMPORTS!$AF:$AF,MATCH($A242,[4]IMPORTS!$C:$C,0)),"")</f>
        <v>MATARANI</v>
      </c>
      <c r="F242" s="408">
        <f>+IFERROR(INDEX([4]IMPORTS!$Y:$Y,MATCH($A242,[4]IMPORTS!$C:$C,0)),"")</f>
        <v>44155</v>
      </c>
      <c r="G242" s="408">
        <f t="shared" si="37"/>
        <v>44153</v>
      </c>
      <c r="H242" s="402">
        <f>+IFERROR(INDEX([4]IMPORTS!$P:$P,MATCH($A242,[4]IMPORTS!$C:$C,0)),"")</f>
        <v>125</v>
      </c>
      <c r="I242" s="408" t="str">
        <f>+IFERROR(INDEX([4]IMPORTS!$R:$R,MATCH($A242,[4]IMPORTS!$C:$C,0)),"")</f>
        <v>CFR</v>
      </c>
      <c r="J242" s="409">
        <f>+IFERROR(INDEX([4]IMPORTS!$S:$S,MATCH($A242,[4]IMPORTS!$C:$C,0)),"")</f>
        <v>242.07</v>
      </c>
      <c r="K242" s="403">
        <f t="shared" si="38"/>
        <v>30258.75</v>
      </c>
      <c r="L242" s="403">
        <f t="shared" si="32"/>
        <v>33.284625000000005</v>
      </c>
      <c r="M242" s="403">
        <f t="shared" si="33"/>
        <v>30292.034625</v>
      </c>
      <c r="N242" s="404">
        <f t="shared" si="34"/>
        <v>606</v>
      </c>
      <c r="O242" s="404">
        <f t="shared" si="35"/>
        <v>4847</v>
      </c>
      <c r="P242" s="404">
        <f t="shared" si="36"/>
        <v>1251</v>
      </c>
      <c r="Q242" s="463">
        <f t="shared" si="39"/>
        <v>6704</v>
      </c>
      <c r="R242" s="464">
        <v>3.3610000000000002</v>
      </c>
      <c r="S242" s="463">
        <f t="shared" si="40"/>
        <v>22532.144</v>
      </c>
      <c r="T242" s="397" t="s">
        <v>256</v>
      </c>
    </row>
    <row r="243" spans="1:21" ht="15" hidden="1" x14ac:dyDescent="0.25">
      <c r="A243" s="398" t="s">
        <v>2402</v>
      </c>
      <c r="B243" s="398"/>
      <c r="C243" s="400" t="str">
        <f>+IFERROR(INDEX([4]IMPORTS!$E:$E,MATCH($A243,[4]IMPORTS!$C:$C,0)),"")</f>
        <v>YARATERA CALCINIT X 25KG</v>
      </c>
      <c r="D243" s="400" t="str">
        <f>+IFERROR(INDEX([4]IMPORTS!$F:$F,MATCH($A243,[4]IMPORTS!$C:$C,0)),"")</f>
        <v>YARA PERÚ SRL</v>
      </c>
      <c r="E243" s="465" t="str">
        <f>+IFERROR(INDEX([4]IMPORTS!$AF:$AF,MATCH($A243,[4]IMPORTS!$C:$C,0)),"")</f>
        <v>CALLAO</v>
      </c>
      <c r="F243" s="408">
        <f>+IFERROR(INDEX([4]IMPORTS!$Y:$Y,MATCH($A243,[4]IMPORTS!$C:$C,0)),"")</f>
        <v>44154</v>
      </c>
      <c r="G243" s="408">
        <f t="shared" si="37"/>
        <v>44152</v>
      </c>
      <c r="H243" s="402">
        <f>+IFERROR(INDEX([4]IMPORTS!$P:$P,MATCH($A243,[4]IMPORTS!$C:$C,0)),"")</f>
        <v>350</v>
      </c>
      <c r="I243" s="408" t="str">
        <f>+IFERROR(INDEX([4]IMPORTS!$R:$R,MATCH($A243,[4]IMPORTS!$C:$C,0)),"")</f>
        <v>CFR</v>
      </c>
      <c r="J243" s="409">
        <f>+IFERROR(INDEX([4]IMPORTS!$S:$S,MATCH($A243,[4]IMPORTS!$C:$C,0)),"")</f>
        <v>242.07</v>
      </c>
      <c r="K243" s="403">
        <f t="shared" si="38"/>
        <v>84724.5</v>
      </c>
      <c r="L243" s="403">
        <f t="shared" si="32"/>
        <v>93.196950000000001</v>
      </c>
      <c r="M243" s="403">
        <f t="shared" si="33"/>
        <v>84817.696949999998</v>
      </c>
      <c r="N243" s="404">
        <f t="shared" si="34"/>
        <v>1696</v>
      </c>
      <c r="O243" s="404">
        <f t="shared" si="35"/>
        <v>13571</v>
      </c>
      <c r="P243" s="404">
        <f t="shared" si="36"/>
        <v>3503</v>
      </c>
      <c r="Q243" s="463">
        <f t="shared" si="39"/>
        <v>18770</v>
      </c>
      <c r="R243" s="464">
        <v>3.3610000000000002</v>
      </c>
      <c r="S243" s="463">
        <f t="shared" si="40"/>
        <v>63085.97</v>
      </c>
      <c r="T243" s="397" t="s">
        <v>256</v>
      </c>
    </row>
    <row r="244" spans="1:21" ht="15" hidden="1" x14ac:dyDescent="0.25">
      <c r="A244" s="398" t="s">
        <v>2309</v>
      </c>
      <c r="B244" s="398"/>
      <c r="C244" s="400" t="str">
        <f>+IFERROR(INDEX([4]IMPORTS!$E:$E,MATCH($A244,[4]IMPORTS!$C:$C,0)),"")</f>
        <v>ÁCIDO FOSFÓRICO</v>
      </c>
      <c r="D244" s="400" t="str">
        <f>+IFERROR(INDEX([4]IMPORTS!$F:$F,MATCH($A244,[4]IMPORTS!$C:$C,0)),"")</f>
        <v>NEW CHINA CHEMICALS CO., LTD.</v>
      </c>
      <c r="E244" s="465" t="str">
        <f>+IFERROR(INDEX([4]IMPORTS!$AF:$AF,MATCH($A244,[4]IMPORTS!$C:$C,0)),"")</f>
        <v>CALLAO</v>
      </c>
      <c r="F244" s="408">
        <f>+IFERROR(INDEX([4]IMPORTS!$Y:$Y,MATCH($A244,[4]IMPORTS!$C:$C,0)),"")</f>
        <v>44184</v>
      </c>
      <c r="G244" s="408">
        <f t="shared" si="37"/>
        <v>44182</v>
      </c>
      <c r="H244" s="402">
        <f>+IFERROR(INDEX([4]IMPORTS!$P:$P,MATCH($A244,[4]IMPORTS!$C:$C,0)),"")</f>
        <v>106.4</v>
      </c>
      <c r="I244" s="408" t="str">
        <f>+IFERROR(INDEX([4]IMPORTS!$R:$R,MATCH($A244,[4]IMPORTS!$C:$C,0)),"")</f>
        <v>CIF</v>
      </c>
      <c r="J244" s="409">
        <f>+IFERROR(INDEX([4]IMPORTS!$S:$S,MATCH($A244,[4]IMPORTS!$C:$C,0)),"")</f>
        <v>807</v>
      </c>
      <c r="K244" s="403">
        <f t="shared" si="38"/>
        <v>85864.8</v>
      </c>
      <c r="L244" s="403">
        <f t="shared" si="32"/>
        <v>94.451280000000011</v>
      </c>
      <c r="M244" s="403">
        <f t="shared" si="33"/>
        <v>85959.251279999997</v>
      </c>
      <c r="N244" s="404">
        <f t="shared" si="34"/>
        <v>1719</v>
      </c>
      <c r="O244" s="404">
        <f t="shared" si="35"/>
        <v>13753</v>
      </c>
      <c r="P244" s="404">
        <f t="shared" si="36"/>
        <v>3550</v>
      </c>
      <c r="Q244" s="463">
        <f t="shared" si="39"/>
        <v>19022</v>
      </c>
      <c r="R244" s="464">
        <v>3.3610000000000002</v>
      </c>
      <c r="S244" s="463">
        <f t="shared" si="40"/>
        <v>63932.942000000003</v>
      </c>
      <c r="T244" s="397" t="s">
        <v>256</v>
      </c>
    </row>
    <row r="245" spans="1:21" ht="15" hidden="1" x14ac:dyDescent="0.25">
      <c r="A245" s="398" t="s">
        <v>1993</v>
      </c>
      <c r="B245" s="398"/>
      <c r="C245" s="400" t="str">
        <f>+IFERROR(INDEX([4]IMPORTS!$E:$E,MATCH($A245,[4]IMPORTS!$C:$C,0)),"")</f>
        <v>VALUCID PK</v>
      </c>
      <c r="D245" s="400" t="str">
        <f>+IFERROR(INDEX([4]IMPORTS!$F:$F,MATCH($A245,[4]IMPORTS!$C:$C,0)),"")</f>
        <v>VALUDOR Products LLC</v>
      </c>
      <c r="E245" s="465" t="str">
        <f>+IFERROR(INDEX([4]IMPORTS!$AF:$AF,MATCH($A245,[4]IMPORTS!$C:$C,0)),"")</f>
        <v>CALLAO</v>
      </c>
      <c r="F245" s="408">
        <f>+IFERROR(INDEX([4]IMPORTS!$Y:$Y,MATCH($A245,[4]IMPORTS!$C:$C,0)),"")</f>
        <v>44186</v>
      </c>
      <c r="G245" s="408">
        <f t="shared" si="37"/>
        <v>44184</v>
      </c>
      <c r="H245" s="402">
        <f>+IFERROR(INDEX([4]IMPORTS!$P:$P,MATCH($A245,[4]IMPORTS!$C:$C,0)),"")</f>
        <v>57.5</v>
      </c>
      <c r="I245" s="408" t="str">
        <f>+IFERROR(INDEX([4]IMPORTS!$R:$R,MATCH($A245,[4]IMPORTS!$C:$C,0)),"")</f>
        <v>CIF</v>
      </c>
      <c r="J245" s="409">
        <f>+IFERROR(INDEX([4]IMPORTS!$S:$S,MATCH($A245,[4]IMPORTS!$C:$C,0)),"")</f>
        <v>1325</v>
      </c>
      <c r="K245" s="403">
        <f t="shared" si="38"/>
        <v>76187.5</v>
      </c>
      <c r="L245" s="403">
        <f t="shared" si="32"/>
        <v>83.806250000000006</v>
      </c>
      <c r="M245" s="403">
        <f t="shared" si="33"/>
        <v>76271.306249999994</v>
      </c>
      <c r="N245" s="404">
        <f t="shared" si="34"/>
        <v>1525</v>
      </c>
      <c r="O245" s="404">
        <f t="shared" si="35"/>
        <v>12203</v>
      </c>
      <c r="P245" s="404">
        <f t="shared" si="36"/>
        <v>3150</v>
      </c>
      <c r="Q245" s="463">
        <f t="shared" si="39"/>
        <v>16878</v>
      </c>
      <c r="R245" s="464">
        <v>3.3610000000000002</v>
      </c>
      <c r="S245" s="463">
        <f t="shared" si="40"/>
        <v>56726.958000000006</v>
      </c>
      <c r="T245" s="397" t="s">
        <v>256</v>
      </c>
    </row>
    <row r="246" spans="1:21" ht="15" hidden="1" x14ac:dyDescent="0.25">
      <c r="A246" s="398" t="s">
        <v>2054</v>
      </c>
      <c r="B246" s="398"/>
      <c r="C246" s="400" t="str">
        <f>+IFERROR(INDEX([4]IMPORTS!$E:$E,MATCH($A246,[4]IMPORTS!$C:$C,0)),"")</f>
        <v>UREA ADBLUE (BIG BAG)</v>
      </c>
      <c r="D246" s="400" t="str">
        <f>+IFERROR(INDEX([4]IMPORTS!$F:$F,MATCH($A246,[4]IMPORTS!$C:$C,0)),"")</f>
        <v>PHOSAGRO</v>
      </c>
      <c r="E246" s="465" t="str">
        <f>+IFERROR(INDEX([4]IMPORTS!$AF:$AF,MATCH($A246,[4]IMPORTS!$C:$C,0)),"")</f>
        <v>CALLAO</v>
      </c>
      <c r="F246" s="408">
        <f>+IFERROR(INDEX([4]IMPORTS!$Y:$Y,MATCH($A246,[4]IMPORTS!$C:$C,0)),"")</f>
        <v>44182</v>
      </c>
      <c r="G246" s="408">
        <f t="shared" si="37"/>
        <v>44180</v>
      </c>
      <c r="H246" s="402">
        <f>+IFERROR(INDEX([4]IMPORTS!$P:$P,MATCH($A246,[4]IMPORTS!$C:$C,0)),"")</f>
        <v>633.6</v>
      </c>
      <c r="I246" s="408" t="str">
        <f>+IFERROR(INDEX([4]IMPORTS!$R:$R,MATCH($A246,[4]IMPORTS!$C:$C,0)),"")</f>
        <v>CFR</v>
      </c>
      <c r="J246" s="409">
        <f>+IFERROR(INDEX([4]IMPORTS!$S:$S,MATCH($A246,[4]IMPORTS!$C:$C,0)),"")</f>
        <v>330</v>
      </c>
      <c r="K246" s="403">
        <f t="shared" si="38"/>
        <v>209088</v>
      </c>
      <c r="L246" s="403">
        <f t="shared" si="32"/>
        <v>229.99680000000001</v>
      </c>
      <c r="M246" s="403">
        <f t="shared" si="33"/>
        <v>209317.99679999999</v>
      </c>
      <c r="N246" s="404">
        <f t="shared" si="34"/>
        <v>4186</v>
      </c>
      <c r="O246" s="404">
        <f t="shared" si="35"/>
        <v>33491</v>
      </c>
      <c r="P246" s="404">
        <f t="shared" si="36"/>
        <v>8645</v>
      </c>
      <c r="Q246" s="463">
        <f t="shared" si="39"/>
        <v>46322</v>
      </c>
      <c r="R246" s="464">
        <v>3.3610000000000002</v>
      </c>
      <c r="S246" s="463">
        <f t="shared" si="40"/>
        <v>155688.242</v>
      </c>
      <c r="T246" s="397" t="s">
        <v>256</v>
      </c>
    </row>
    <row r="247" spans="1:21" ht="15" hidden="1" x14ac:dyDescent="0.25">
      <c r="A247" s="398" t="s">
        <v>2055</v>
      </c>
      <c r="B247" s="398"/>
      <c r="C247" s="400" t="str">
        <f>+IFERROR(INDEX([4]IMPORTS!$E:$E,MATCH($A247,[4]IMPORTS!$C:$C,0)),"")</f>
        <v>UREA ADBLUE (BIG BAG)</v>
      </c>
      <c r="D247" s="400" t="str">
        <f>+IFERROR(INDEX([4]IMPORTS!$F:$F,MATCH($A247,[4]IMPORTS!$C:$C,0)),"")</f>
        <v>PHOSAGRO</v>
      </c>
      <c r="E247" s="465" t="str">
        <f>+IFERROR(INDEX([4]IMPORTS!$AF:$AF,MATCH($A247,[4]IMPORTS!$C:$C,0)),"")</f>
        <v>CALLAO</v>
      </c>
      <c r="F247" s="408">
        <f>+IFERROR(INDEX([4]IMPORTS!$Y:$Y,MATCH($A247,[4]IMPORTS!$C:$C,0)),"")</f>
        <v>44182</v>
      </c>
      <c r="G247" s="408">
        <f t="shared" si="37"/>
        <v>44180</v>
      </c>
      <c r="H247" s="402">
        <f>+IFERROR(INDEX([4]IMPORTS!$P:$P,MATCH($A247,[4]IMPORTS!$C:$C,0)),"")</f>
        <v>633.6</v>
      </c>
      <c r="I247" s="408" t="str">
        <f>+IFERROR(INDEX([4]IMPORTS!$R:$R,MATCH($A247,[4]IMPORTS!$C:$C,0)),"")</f>
        <v>CFR</v>
      </c>
      <c r="J247" s="409">
        <f>+IFERROR(INDEX([4]IMPORTS!$S:$S,MATCH($A247,[4]IMPORTS!$C:$C,0)),"")</f>
        <v>324</v>
      </c>
      <c r="K247" s="403">
        <f t="shared" si="38"/>
        <v>205286.39999999999</v>
      </c>
      <c r="L247" s="403">
        <f t="shared" si="32"/>
        <v>225.81504000000001</v>
      </c>
      <c r="M247" s="403">
        <f t="shared" si="33"/>
        <v>205512.21503999998</v>
      </c>
      <c r="N247" s="404">
        <f t="shared" si="34"/>
        <v>4110</v>
      </c>
      <c r="O247" s="404">
        <f t="shared" si="35"/>
        <v>32882</v>
      </c>
      <c r="P247" s="404">
        <f t="shared" si="36"/>
        <v>8488</v>
      </c>
      <c r="Q247" s="463">
        <f t="shared" si="39"/>
        <v>45480</v>
      </c>
      <c r="R247" s="464">
        <v>3.3610000000000002</v>
      </c>
      <c r="S247" s="463">
        <f t="shared" si="40"/>
        <v>152858.28</v>
      </c>
      <c r="T247" s="397" t="s">
        <v>256</v>
      </c>
    </row>
    <row r="248" spans="1:21" ht="15" hidden="1" x14ac:dyDescent="0.25">
      <c r="A248" s="398" t="s">
        <v>2070</v>
      </c>
      <c r="B248" s="398"/>
      <c r="C248" s="400" t="str">
        <f>+IFERROR(INDEX([4]IMPORTS!$E:$E,MATCH($A248,[4]IMPORTS!$C:$C,0)),"")</f>
        <v>CR - MAG BIGBAG</v>
      </c>
      <c r="D248" s="400" t="str">
        <f>+IFERROR(INDEX([4]IMPORTS!$F:$F,MATCH($A248,[4]IMPORTS!$C:$C,0)),"")</f>
        <v>TIMAB</v>
      </c>
      <c r="E248" s="465" t="str">
        <f>+IFERROR(INDEX([4]IMPORTS!$AF:$AF,MATCH($A248,[4]IMPORTS!$C:$C,0)),"")</f>
        <v>CALLAO</v>
      </c>
      <c r="F248" s="408">
        <f>+IFERROR(INDEX([4]IMPORTS!$Y:$Y,MATCH($A248,[4]IMPORTS!$C:$C,0)),"")</f>
        <v>44195</v>
      </c>
      <c r="G248" s="408">
        <f t="shared" si="37"/>
        <v>44193</v>
      </c>
      <c r="H248" s="402">
        <f>+IFERROR(INDEX([4]IMPORTS!$P:$P,MATCH($A248,[4]IMPORTS!$C:$C,0)),"")</f>
        <v>100</v>
      </c>
      <c r="I248" s="408" t="str">
        <f>+IFERROR(INDEX([4]IMPORTS!$R:$R,MATCH($A248,[4]IMPORTS!$C:$C,0)),"")</f>
        <v>CIF</v>
      </c>
      <c r="J248" s="409">
        <f>+IFERROR(INDEX([4]IMPORTS!$S:$S,MATCH($A248,[4]IMPORTS!$C:$C,0)),"")</f>
        <v>345</v>
      </c>
      <c r="K248" s="403">
        <f t="shared" si="38"/>
        <v>34500</v>
      </c>
      <c r="L248" s="403">
        <f t="shared" si="32"/>
        <v>37.950000000000003</v>
      </c>
      <c r="M248" s="403">
        <f t="shared" si="33"/>
        <v>34537.949999999997</v>
      </c>
      <c r="N248" s="404">
        <f t="shared" si="34"/>
        <v>691</v>
      </c>
      <c r="O248" s="404">
        <f t="shared" si="35"/>
        <v>5526</v>
      </c>
      <c r="P248" s="404">
        <f t="shared" si="36"/>
        <v>1426</v>
      </c>
      <c r="Q248" s="463">
        <f t="shared" si="39"/>
        <v>7643</v>
      </c>
      <c r="R248" s="464">
        <v>3.3610000000000002</v>
      </c>
      <c r="S248" s="463">
        <f t="shared" si="40"/>
        <v>25688.123000000003</v>
      </c>
      <c r="T248" s="397" t="s">
        <v>256</v>
      </c>
    </row>
    <row r="249" spans="1:21" ht="15" hidden="1" x14ac:dyDescent="0.25">
      <c r="A249" s="398" t="s">
        <v>2072</v>
      </c>
      <c r="B249" s="398"/>
      <c r="C249" s="400" t="str">
        <f>+IFERROR(INDEX([4]IMPORTS!$E:$E,MATCH($A249,[4]IMPORTS!$C:$C,0)),"")</f>
        <v>SULFATO DE ZINC HEPTAHIDRATADO</v>
      </c>
      <c r="D249" s="400" t="str">
        <f>+IFERROR(INDEX([4]IMPORTS!$F:$F,MATCH($A249,[4]IMPORTS!$C:$C,0)),"")</f>
        <v>WEGROW AG</v>
      </c>
      <c r="E249" s="465" t="str">
        <f>+IFERROR(INDEX([4]IMPORTS!$AF:$AF,MATCH($A249,[4]IMPORTS!$C:$C,0)),"")</f>
        <v>CALLAO</v>
      </c>
      <c r="F249" s="408">
        <f>+IFERROR(INDEX([4]IMPORTS!$Y:$Y,MATCH($A249,[4]IMPORTS!$C:$C,0)),"")</f>
        <v>44195</v>
      </c>
      <c r="G249" s="408">
        <f t="shared" si="37"/>
        <v>44193</v>
      </c>
      <c r="H249" s="402">
        <f>+IFERROR(INDEX([4]IMPORTS!$P:$P,MATCH($A249,[4]IMPORTS!$C:$C,0)),"")</f>
        <v>46.25</v>
      </c>
      <c r="I249" s="408" t="str">
        <f>+IFERROR(INDEX([4]IMPORTS!$R:$R,MATCH($A249,[4]IMPORTS!$C:$C,0)),"")</f>
        <v>CFR</v>
      </c>
      <c r="J249" s="409">
        <f>+IFERROR(INDEX([4]IMPORTS!$S:$S,MATCH($A249,[4]IMPORTS!$C:$C,0)),"")</f>
        <v>447</v>
      </c>
      <c r="K249" s="403">
        <f t="shared" si="38"/>
        <v>20673.75</v>
      </c>
      <c r="L249" s="403">
        <f t="shared" ref="L249:L274" si="41">+K249*0.11%</f>
        <v>22.741125</v>
      </c>
      <c r="M249" s="403">
        <f t="shared" ref="M249:M257" si="42">+K249+L249</f>
        <v>20696.491125</v>
      </c>
      <c r="N249" s="404">
        <f t="shared" ref="N249:N257" si="43">ROUND(M249*2%,0)</f>
        <v>414</v>
      </c>
      <c r="O249" s="404">
        <f t="shared" ref="O249:O274" si="44">ROUND(M249*16%,0)</f>
        <v>3311</v>
      </c>
      <c r="P249" s="404">
        <f t="shared" ref="P249:P274" si="45">ROUND((M249+N249+O249)*3.5%,0)</f>
        <v>855</v>
      </c>
      <c r="Q249" s="463">
        <f t="shared" si="39"/>
        <v>4580</v>
      </c>
      <c r="R249" s="464">
        <v>3.3610000000000002</v>
      </c>
      <c r="S249" s="463">
        <f t="shared" si="40"/>
        <v>15393.380000000001</v>
      </c>
      <c r="T249" s="397" t="s">
        <v>256</v>
      </c>
    </row>
    <row r="250" spans="1:21" ht="15" hidden="1" x14ac:dyDescent="0.25">
      <c r="A250" s="398" t="s">
        <v>2444</v>
      </c>
      <c r="B250" s="398"/>
      <c r="C250" s="400" t="str">
        <f>+IFERROR(INDEX([4]IMPORTS!$E:$E,MATCH($A250,[4]IMPORTS!$C:$C,0)),"")</f>
        <v>ÁCIDO FOSFÓRICO</v>
      </c>
      <c r="D250" s="400" t="str">
        <f>+IFERROR(INDEX([4]IMPORTS!$F:$F,MATCH($A250,[4]IMPORTS!$C:$C,0)),"")</f>
        <v>NEW CHINA CHEMICALS CO., LTD.</v>
      </c>
      <c r="E250" s="465" t="str">
        <f>+IFERROR(INDEX([4]IMPORTS!$AF:$AF,MATCH($A250,[4]IMPORTS!$C:$C,0)),"")</f>
        <v>CALLAO</v>
      </c>
      <c r="F250" s="408">
        <f>+IFERROR(INDEX([4]IMPORTS!$Y:$Y,MATCH($A250,[4]IMPORTS!$C:$C,0)),"")</f>
        <v>44198</v>
      </c>
      <c r="G250" s="408">
        <f t="shared" si="37"/>
        <v>44196</v>
      </c>
      <c r="H250" s="402">
        <f>+IFERROR(INDEX([4]IMPORTS!$P:$P,MATCH($A250,[4]IMPORTS!$C:$C,0)),"")</f>
        <v>53.2</v>
      </c>
      <c r="I250" s="408" t="str">
        <f>+IFERROR(INDEX([4]IMPORTS!$R:$R,MATCH($A250,[4]IMPORTS!$C:$C,0)),"")</f>
        <v>CIF</v>
      </c>
      <c r="J250" s="409">
        <f>+IFERROR(INDEX([4]IMPORTS!$S:$S,MATCH($A250,[4]IMPORTS!$C:$C,0)),"")</f>
        <v>807</v>
      </c>
      <c r="K250" s="403">
        <f t="shared" si="38"/>
        <v>42932.4</v>
      </c>
      <c r="L250" s="403">
        <f t="shared" si="41"/>
        <v>47.225640000000006</v>
      </c>
      <c r="M250" s="403">
        <f t="shared" si="42"/>
        <v>42979.625639999998</v>
      </c>
      <c r="N250" s="404">
        <f t="shared" si="43"/>
        <v>860</v>
      </c>
      <c r="O250" s="404">
        <f t="shared" si="44"/>
        <v>6877</v>
      </c>
      <c r="P250" s="404">
        <f t="shared" si="45"/>
        <v>1775</v>
      </c>
      <c r="Q250" s="463">
        <f t="shared" si="39"/>
        <v>9512</v>
      </c>
      <c r="R250" s="464">
        <v>3.3610000000000002</v>
      </c>
      <c r="S250" s="463">
        <f t="shared" si="40"/>
        <v>31969.832000000002</v>
      </c>
      <c r="T250" s="397" t="s">
        <v>256</v>
      </c>
    </row>
    <row r="251" spans="1:21" ht="15" hidden="1" x14ac:dyDescent="0.25">
      <c r="A251" s="398" t="s">
        <v>2445</v>
      </c>
      <c r="B251" s="398"/>
      <c r="C251" s="400" t="str">
        <f>+IFERROR(INDEX([4]IMPORTS!$E:$E,MATCH($A251,[4]IMPORTS!$C:$C,0)),"")</f>
        <v>ÁCIDO FOSFÓRICO</v>
      </c>
      <c r="D251" s="400" t="str">
        <f>+IFERROR(INDEX([4]IMPORTS!$F:$F,MATCH($A251,[4]IMPORTS!$C:$C,0)),"")</f>
        <v>NEW CHINA CHEMICALS CO., LTD.</v>
      </c>
      <c r="E251" s="465" t="str">
        <f>+IFERROR(INDEX([4]IMPORTS!$AF:$AF,MATCH($A251,[4]IMPORTS!$C:$C,0)),"")</f>
        <v>CALLAO</v>
      </c>
      <c r="F251" s="408">
        <f>+IFERROR(INDEX([4]IMPORTS!$Y:$Y,MATCH($A251,[4]IMPORTS!$C:$C,0)),"")</f>
        <v>44198</v>
      </c>
      <c r="G251" s="408">
        <f t="shared" si="37"/>
        <v>44196</v>
      </c>
      <c r="H251" s="402">
        <f>+IFERROR(INDEX([4]IMPORTS!$P:$P,MATCH($A251,[4]IMPORTS!$C:$C,0)),"")</f>
        <v>53.2</v>
      </c>
      <c r="I251" s="408" t="str">
        <f>+IFERROR(INDEX([4]IMPORTS!$R:$R,MATCH($A251,[4]IMPORTS!$C:$C,0)),"")</f>
        <v>CIF</v>
      </c>
      <c r="J251" s="409">
        <f>+IFERROR(INDEX([4]IMPORTS!$S:$S,MATCH($A251,[4]IMPORTS!$C:$C,0)),"")</f>
        <v>807</v>
      </c>
      <c r="K251" s="403">
        <f t="shared" si="38"/>
        <v>42932.4</v>
      </c>
      <c r="L251" s="403">
        <f t="shared" si="41"/>
        <v>47.225640000000006</v>
      </c>
      <c r="M251" s="403">
        <f t="shared" si="42"/>
        <v>42979.625639999998</v>
      </c>
      <c r="N251" s="404">
        <f t="shared" si="43"/>
        <v>860</v>
      </c>
      <c r="O251" s="404">
        <f t="shared" si="44"/>
        <v>6877</v>
      </c>
      <c r="P251" s="404">
        <f t="shared" si="45"/>
        <v>1775</v>
      </c>
      <c r="Q251" s="463">
        <f t="shared" si="39"/>
        <v>9512</v>
      </c>
      <c r="R251" s="464">
        <v>3.3610000000000002</v>
      </c>
      <c r="S251" s="463">
        <f t="shared" si="40"/>
        <v>31969.832000000002</v>
      </c>
      <c r="T251" s="397" t="s">
        <v>256</v>
      </c>
    </row>
    <row r="252" spans="1:21" ht="15" hidden="1" x14ac:dyDescent="0.25">
      <c r="A252" s="398" t="s">
        <v>2071</v>
      </c>
      <c r="B252" s="398"/>
      <c r="C252" s="400" t="str">
        <f>+IFERROR(INDEX([4]IMPORTS!$E:$E,MATCH($A252,[4]IMPORTS!$C:$C,0)),"")</f>
        <v>SULFATO DE ZINC HEPTAHIDRATADO</v>
      </c>
      <c r="D252" s="400" t="str">
        <f>+IFERROR(INDEX([4]IMPORTS!$F:$F,MATCH($A252,[4]IMPORTS!$C:$C,0)),"")</f>
        <v>WEGROW AG</v>
      </c>
      <c r="E252" s="465" t="str">
        <f>+IFERROR(INDEX([4]IMPORTS!$AF:$AF,MATCH($A252,[4]IMPORTS!$C:$C,0)),"")</f>
        <v>PAITA</v>
      </c>
      <c r="F252" s="408">
        <f>+IFERROR(INDEX([4]IMPORTS!$Y:$Y,MATCH($A252,[4]IMPORTS!$C:$C,0)),"")</f>
        <v>44197</v>
      </c>
      <c r="G252" s="408">
        <f t="shared" si="37"/>
        <v>44195</v>
      </c>
      <c r="H252" s="402">
        <f>+IFERROR(INDEX([4]IMPORTS!$P:$P,MATCH($A252,[4]IMPORTS!$C:$C,0)),"")</f>
        <v>297</v>
      </c>
      <c r="I252" s="408" t="str">
        <f>+IFERROR(INDEX([4]IMPORTS!$R:$R,MATCH($A252,[4]IMPORTS!$C:$C,0)),"")</f>
        <v>CPT</v>
      </c>
      <c r="J252" s="409">
        <f>+IFERROR(INDEX([4]IMPORTS!$S:$S,MATCH($A252,[4]IMPORTS!$C:$C,0)),"")</f>
        <v>505</v>
      </c>
      <c r="K252" s="403">
        <f t="shared" si="38"/>
        <v>149985</v>
      </c>
      <c r="L252" s="403">
        <f t="shared" si="41"/>
        <v>164.98350000000002</v>
      </c>
      <c r="M252" s="403">
        <f t="shared" si="42"/>
        <v>150149.9835</v>
      </c>
      <c r="N252" s="404">
        <f t="shared" si="43"/>
        <v>3003</v>
      </c>
      <c r="O252" s="404">
        <f t="shared" si="44"/>
        <v>24024</v>
      </c>
      <c r="P252" s="404">
        <f t="shared" si="45"/>
        <v>6201</v>
      </c>
      <c r="Q252" s="463">
        <f t="shared" si="39"/>
        <v>33228</v>
      </c>
      <c r="R252" s="464">
        <v>3.3610000000000002</v>
      </c>
      <c r="S252" s="463">
        <f t="shared" si="40"/>
        <v>111679.308</v>
      </c>
      <c r="T252" s="397" t="s">
        <v>256</v>
      </c>
    </row>
    <row r="253" spans="1:21" ht="15" hidden="1" x14ac:dyDescent="0.25">
      <c r="A253" s="398" t="s">
        <v>2333</v>
      </c>
      <c r="B253" s="398"/>
      <c r="C253" s="400" t="str">
        <f>+IFERROR(INDEX([4]IMPORTS!$E:$E,MATCH($A253,[4]IMPORTS!$C:$C,0)),"")</f>
        <v>ÁCIDO FOSFÓRICO</v>
      </c>
      <c r="D253" s="400" t="str">
        <f>+IFERROR(INDEX([4]IMPORTS!$F:$F,MATCH($A253,[4]IMPORTS!$C:$C,0)),"")</f>
        <v>NITRON GROUP LLC</v>
      </c>
      <c r="E253" s="465" t="str">
        <f>+IFERROR(INDEX([4]IMPORTS!$AF:$AF,MATCH($A253,[4]IMPORTS!$C:$C,0)),"")</f>
        <v>CALLAO</v>
      </c>
      <c r="F253" s="408">
        <f>+IFERROR(INDEX([4]IMPORTS!$Y:$Y,MATCH($A253,[4]IMPORTS!$C:$C,0)),"")</f>
        <v>44204</v>
      </c>
      <c r="G253" s="408">
        <f t="shared" si="37"/>
        <v>44202</v>
      </c>
      <c r="H253" s="402">
        <f>+IFERROR(INDEX([4]IMPORTS!$P:$P,MATCH($A253,[4]IMPORTS!$C:$C,0)),"")</f>
        <v>456</v>
      </c>
      <c r="I253" s="408" t="str">
        <f>+IFERROR(INDEX([4]IMPORTS!$R:$R,MATCH($A253,[4]IMPORTS!$C:$C,0)),"")</f>
        <v>CFR</v>
      </c>
      <c r="J253" s="409">
        <f>+IFERROR(INDEX([4]IMPORTS!$S:$S,MATCH($A253,[4]IMPORTS!$C:$C,0)),"")</f>
        <v>880</v>
      </c>
      <c r="K253" s="403">
        <f t="shared" si="38"/>
        <v>401280</v>
      </c>
      <c r="L253" s="403">
        <f t="shared" si="41"/>
        <v>441.40800000000002</v>
      </c>
      <c r="M253" s="403">
        <f t="shared" si="42"/>
        <v>401721.408</v>
      </c>
      <c r="N253" s="404">
        <f t="shared" si="43"/>
        <v>8034</v>
      </c>
      <c r="O253" s="404">
        <f t="shared" si="44"/>
        <v>64275</v>
      </c>
      <c r="P253" s="404">
        <f t="shared" si="45"/>
        <v>16591</v>
      </c>
      <c r="Q253" s="463">
        <f t="shared" si="39"/>
        <v>88900</v>
      </c>
      <c r="R253" s="464">
        <v>3.3610000000000002</v>
      </c>
      <c r="S253" s="463">
        <f t="shared" si="40"/>
        <v>298792.90000000002</v>
      </c>
      <c r="T253" s="397" t="s">
        <v>256</v>
      </c>
    </row>
    <row r="254" spans="1:21" ht="15" hidden="1" x14ac:dyDescent="0.25">
      <c r="A254" s="398" t="s">
        <v>2336</v>
      </c>
      <c r="B254" s="398"/>
      <c r="C254" s="400" t="str">
        <f>+IFERROR(INDEX([4]IMPORTS!$E:$E,MATCH($A254,[4]IMPORTS!$C:$C,0)),"")</f>
        <v>NITRATO DE MAGNESIO HEXAHIDRATADO</v>
      </c>
      <c r="D254" s="400" t="str">
        <f>+IFERROR(INDEX([4]IMPORTS!$F:$F,MATCH($A254,[4]IMPORTS!$C:$C,0)),"")</f>
        <v>EVA-FERT AG</v>
      </c>
      <c r="E254" s="465" t="str">
        <f>+IFERROR(INDEX([4]IMPORTS!$AF:$AF,MATCH($A254,[4]IMPORTS!$C:$C,0)),"")</f>
        <v>CALLAO</v>
      </c>
      <c r="F254" s="408">
        <f>+IFERROR(INDEX([4]IMPORTS!$Y:$Y,MATCH($A254,[4]IMPORTS!$C:$C,0)),"")</f>
        <v>44236</v>
      </c>
      <c r="G254" s="408">
        <f t="shared" si="37"/>
        <v>44234</v>
      </c>
      <c r="H254" s="402">
        <f>+IFERROR(INDEX([4]IMPORTS!$P:$P,MATCH($A254,[4]IMPORTS!$C:$C,0)),"")</f>
        <v>250</v>
      </c>
      <c r="I254" s="408" t="str">
        <f>+IFERROR(INDEX([4]IMPORTS!$R:$R,MATCH($A254,[4]IMPORTS!$C:$C,0)),"")</f>
        <v>CFR</v>
      </c>
      <c r="J254" s="409">
        <f>+IFERROR(INDEX([4]IMPORTS!$S:$S,MATCH($A254,[4]IMPORTS!$C:$C,0)),"")</f>
        <v>234</v>
      </c>
      <c r="K254" s="403">
        <f t="shared" si="38"/>
        <v>58500</v>
      </c>
      <c r="L254" s="403">
        <f t="shared" si="41"/>
        <v>64.350000000000009</v>
      </c>
      <c r="M254" s="403">
        <f t="shared" si="42"/>
        <v>58564.35</v>
      </c>
      <c r="N254" s="404">
        <f t="shared" si="43"/>
        <v>1171</v>
      </c>
      <c r="O254" s="404">
        <f t="shared" si="44"/>
        <v>9370</v>
      </c>
      <c r="P254" s="404">
        <f t="shared" si="45"/>
        <v>2419</v>
      </c>
      <c r="Q254" s="463">
        <f t="shared" si="39"/>
        <v>12960</v>
      </c>
      <c r="R254" s="464">
        <v>3.3610000000000002</v>
      </c>
      <c r="S254" s="463">
        <f t="shared" si="40"/>
        <v>43558.560000000005</v>
      </c>
      <c r="T254" s="397" t="s">
        <v>256</v>
      </c>
    </row>
    <row r="255" spans="1:21" ht="15" hidden="1" x14ac:dyDescent="0.25">
      <c r="A255" s="398" t="s">
        <v>2373</v>
      </c>
      <c r="B255" s="398"/>
      <c r="C255" s="400" t="str">
        <f>+IFERROR(INDEX([4]IMPORTS!$E:$E,MATCH($A255,[4]IMPORTS!$C:$C,0)),"")</f>
        <v>SULFATO DE ZINC HEPTAHIDRATADO</v>
      </c>
      <c r="D255" s="400" t="str">
        <f>+IFERROR(INDEX([4]IMPORTS!$F:$F,MATCH($A255,[4]IMPORTS!$C:$C,0)),"")</f>
        <v>MITSUI &amp; CO., Ltda</v>
      </c>
      <c r="E255" s="465" t="str">
        <f>+IFERROR(INDEX([4]IMPORTS!$AF:$AF,MATCH($A255,[4]IMPORTS!$C:$C,0)),"")</f>
        <v>CALLAO</v>
      </c>
      <c r="F255" s="408">
        <f>+IFERROR(INDEX([4]IMPORTS!$Y:$Y,MATCH($A255,[4]IMPORTS!$C:$C,0)),"")</f>
        <v>44236</v>
      </c>
      <c r="G255" s="408">
        <f t="shared" si="37"/>
        <v>44234</v>
      </c>
      <c r="H255" s="402">
        <f>+IFERROR(INDEX([4]IMPORTS!$P:$P,MATCH($A255,[4]IMPORTS!$C:$C,0)),"")</f>
        <v>200</v>
      </c>
      <c r="I255" s="408" t="str">
        <f>+IFERROR(INDEX([4]IMPORTS!$R:$R,MATCH($A255,[4]IMPORTS!$C:$C,0)),"")</f>
        <v>CFR</v>
      </c>
      <c r="J255" s="409">
        <f>+IFERROR(INDEX([4]IMPORTS!$S:$S,MATCH($A255,[4]IMPORTS!$C:$C,0)),"")</f>
        <v>509</v>
      </c>
      <c r="K255" s="403">
        <f t="shared" si="38"/>
        <v>101800</v>
      </c>
      <c r="L255" s="403">
        <f t="shared" si="41"/>
        <v>111.98</v>
      </c>
      <c r="M255" s="403">
        <f t="shared" si="42"/>
        <v>101911.98</v>
      </c>
      <c r="N255" s="404">
        <f t="shared" si="43"/>
        <v>2038</v>
      </c>
      <c r="O255" s="404">
        <f t="shared" si="44"/>
        <v>16306</v>
      </c>
      <c r="P255" s="404">
        <f t="shared" si="45"/>
        <v>4209</v>
      </c>
      <c r="Q255" s="463">
        <f t="shared" si="39"/>
        <v>22553</v>
      </c>
      <c r="R255" s="464">
        <v>3.3610000000000002</v>
      </c>
      <c r="S255" s="463">
        <f t="shared" si="40"/>
        <v>75800.633000000002</v>
      </c>
      <c r="T255" s="397" t="s">
        <v>256</v>
      </c>
    </row>
    <row r="256" spans="1:21" ht="15" hidden="1" x14ac:dyDescent="0.25">
      <c r="A256" s="398" t="s">
        <v>2739</v>
      </c>
      <c r="B256" s="398"/>
      <c r="C256" s="400" t="str">
        <f>+IFERROR(INDEX([4]IMPORTS!$E:$E,MATCH($A256,[4]IMPORTS!$C:$C,0)),"")</f>
        <v>ÁCIDO FOSFÓRICO</v>
      </c>
      <c r="D256" s="400" t="str">
        <f>+IFERROR(INDEX([4]IMPORTS!$F:$F,MATCH($A256,[4]IMPORTS!$C:$C,0)),"")</f>
        <v>NEW CHINA CHEMICALS CO., LTD.</v>
      </c>
      <c r="E256" s="465" t="str">
        <f>+IFERROR(INDEX([4]IMPORTS!$AF:$AF,MATCH($A256,[4]IMPORTS!$C:$C,0)),"")</f>
        <v>CALLAO</v>
      </c>
      <c r="F256" s="408">
        <f>+IFERROR(INDEX([4]IMPORTS!$Y:$Y,MATCH($A256,[4]IMPORTS!$C:$C,0)),"")</f>
        <v>44254</v>
      </c>
      <c r="G256" s="408">
        <f t="shared" si="37"/>
        <v>44252</v>
      </c>
      <c r="H256" s="402">
        <f>+IFERROR(INDEX([4]IMPORTS!$P:$P,MATCH($A256,[4]IMPORTS!$C:$C,0)),"")</f>
        <v>106.4</v>
      </c>
      <c r="I256" s="408" t="str">
        <f>+IFERROR(INDEX([4]IMPORTS!$R:$R,MATCH($A256,[4]IMPORTS!$C:$C,0)),"")</f>
        <v>CIF</v>
      </c>
      <c r="J256" s="409">
        <f>+IFERROR(INDEX([4]IMPORTS!$S:$S,MATCH($A256,[4]IMPORTS!$C:$C,0)),"")</f>
        <v>807</v>
      </c>
      <c r="K256" s="403">
        <f t="shared" si="38"/>
        <v>85864.8</v>
      </c>
      <c r="L256" s="403">
        <f t="shared" si="41"/>
        <v>94.451280000000011</v>
      </c>
      <c r="M256" s="403">
        <f t="shared" si="42"/>
        <v>85959.251279999997</v>
      </c>
      <c r="N256" s="404">
        <f t="shared" si="43"/>
        <v>1719</v>
      </c>
      <c r="O256" s="404">
        <f t="shared" si="44"/>
        <v>13753</v>
      </c>
      <c r="P256" s="404">
        <f t="shared" si="45"/>
        <v>3550</v>
      </c>
      <c r="Q256" s="463">
        <f t="shared" si="39"/>
        <v>19022</v>
      </c>
      <c r="R256" s="464">
        <v>3.3610000000000002</v>
      </c>
      <c r="S256" s="463">
        <f t="shared" si="40"/>
        <v>63932.942000000003</v>
      </c>
      <c r="T256" s="397" t="s">
        <v>256</v>
      </c>
      <c r="U256" s="405"/>
    </row>
    <row r="257" spans="1:20" ht="15" hidden="1" x14ac:dyDescent="0.25">
      <c r="A257" s="398" t="s">
        <v>2277</v>
      </c>
      <c r="B257" s="398"/>
      <c r="C257" s="400" t="str">
        <f>+IFERROR(INDEX([4]IMPORTS!$E:$E,MATCH($A257,[4]IMPORTS!$C:$C,0)),"")</f>
        <v>UREA ADBLUE (BIG BAG)</v>
      </c>
      <c r="D257" s="400" t="str">
        <f>+IFERROR(INDEX([4]IMPORTS!$F:$F,MATCH($A257,[4]IMPORTS!$C:$C,0)),"")</f>
        <v>PHOSAGRO</v>
      </c>
      <c r="E257" s="465" t="str">
        <f>+IFERROR(INDEX([4]IMPORTS!$AF:$AF,MATCH($A257,[4]IMPORTS!$C:$C,0)),"")</f>
        <v>CALLAO</v>
      </c>
      <c r="F257" s="408">
        <f>+IFERROR(INDEX([4]IMPORTS!$Y:$Y,MATCH($A257,[4]IMPORTS!$C:$C,0)),"")</f>
        <v>44224</v>
      </c>
      <c r="G257" s="408">
        <f t="shared" si="37"/>
        <v>44222</v>
      </c>
      <c r="H257" s="402">
        <f>+IFERROR(INDEX([4]IMPORTS!$P:$P,MATCH($A257,[4]IMPORTS!$C:$C,0)),"")</f>
        <v>614.4</v>
      </c>
      <c r="I257" s="408" t="str">
        <f>+IFERROR(INDEX([4]IMPORTS!$R:$R,MATCH($A257,[4]IMPORTS!$C:$C,0)),"")</f>
        <v>CFR</v>
      </c>
      <c r="J257" s="409">
        <f>+IFERROR(INDEX([4]IMPORTS!$S:$S,MATCH($A257,[4]IMPORTS!$C:$C,0)),"")</f>
        <v>320</v>
      </c>
      <c r="K257" s="403">
        <f t="shared" si="38"/>
        <v>196608</v>
      </c>
      <c r="L257" s="403">
        <f t="shared" si="41"/>
        <v>216.2688</v>
      </c>
      <c r="M257" s="403">
        <f t="shared" si="42"/>
        <v>196824.26879999999</v>
      </c>
      <c r="N257" s="404">
        <f t="shared" si="43"/>
        <v>3936</v>
      </c>
      <c r="O257" s="404">
        <f t="shared" si="44"/>
        <v>31492</v>
      </c>
      <c r="P257" s="404">
        <f t="shared" si="45"/>
        <v>8129</v>
      </c>
      <c r="Q257" s="463">
        <f t="shared" si="39"/>
        <v>43557</v>
      </c>
      <c r="R257" s="464">
        <v>3.3610000000000002</v>
      </c>
      <c r="S257" s="463">
        <f t="shared" si="40"/>
        <v>146395.07700000002</v>
      </c>
      <c r="T257" s="397" t="s">
        <v>256</v>
      </c>
    </row>
    <row r="258" spans="1:20" ht="15" hidden="1" x14ac:dyDescent="0.25">
      <c r="A258" s="398" t="s">
        <v>2401</v>
      </c>
      <c r="B258" s="398"/>
      <c r="C258" s="400" t="str">
        <f>+IFERROR(INDEX([4]IMPORTS!$E:$E,MATCH($A258,[4]IMPORTS!$C:$C,0)),"")</f>
        <v>SULFATO DE ZINC HEPTAHIDRATADO</v>
      </c>
      <c r="D258" s="400" t="str">
        <f>+IFERROR(INDEX([4]IMPORTS!$F:$F,MATCH($A258,[4]IMPORTS!$C:$C,0)),"")</f>
        <v>WEGROW AG</v>
      </c>
      <c r="E258" s="465" t="str">
        <f>+IFERROR(INDEX([4]IMPORTS!$AF:$AF,MATCH($A258,[4]IMPORTS!$C:$C,0)),"")</f>
        <v>PAITA</v>
      </c>
      <c r="F258" s="408">
        <f>+IFERROR(INDEX([4]IMPORTS!$Y:$Y,MATCH($A258,[4]IMPORTS!$C:$C,0)),"")</f>
        <v>44232</v>
      </c>
      <c r="G258" s="408">
        <f t="shared" ref="G258:G283" si="46">+F258-2</f>
        <v>44230</v>
      </c>
      <c r="H258" s="402">
        <f>+IFERROR(INDEX([4]IMPORTS!$P:$P,MATCH($A258,[4]IMPORTS!$C:$C,0)),"")</f>
        <v>162</v>
      </c>
      <c r="I258" s="408" t="str">
        <f>+IFERROR(INDEX([4]IMPORTS!$R:$R,MATCH($A258,[4]IMPORTS!$C:$C,0)),"")</f>
        <v>CPT</v>
      </c>
      <c r="J258" s="409">
        <f>+IFERROR(INDEX([4]IMPORTS!$S:$S,MATCH($A258,[4]IMPORTS!$C:$C,0)),"")</f>
        <v>519</v>
      </c>
      <c r="K258" s="403">
        <f t="shared" ref="K258:K283" si="47">+H258*J258</f>
        <v>84078</v>
      </c>
      <c r="L258" s="403">
        <f t="shared" si="41"/>
        <v>92.485800000000012</v>
      </c>
      <c r="M258" s="403">
        <f>+K258+L258</f>
        <v>84170.485799999995</v>
      </c>
      <c r="N258" s="404">
        <f>ROUND(M258*2%,0)</f>
        <v>1683</v>
      </c>
      <c r="O258" s="404">
        <f t="shared" si="44"/>
        <v>13467</v>
      </c>
      <c r="P258" s="404">
        <f t="shared" si="45"/>
        <v>3476</v>
      </c>
      <c r="Q258" s="463">
        <f t="shared" ref="Q258:Q283" si="48">N258+O258+P258</f>
        <v>18626</v>
      </c>
      <c r="R258" s="464">
        <v>3.3610000000000002</v>
      </c>
      <c r="S258" s="463">
        <f t="shared" ref="S258:S283" si="49">Q258*R258</f>
        <v>62601.986000000004</v>
      </c>
      <c r="T258" s="397" t="s">
        <v>256</v>
      </c>
    </row>
    <row r="259" spans="1:20" ht="15" hidden="1" x14ac:dyDescent="0.25">
      <c r="A259" s="398" t="s">
        <v>2632</v>
      </c>
      <c r="B259" s="398"/>
      <c r="C259" s="400" t="str">
        <f>+IFERROR(INDEX([4]IMPORTS!$E:$E,MATCH($A259,[4]IMPORTS!$C:$C,0)),"")</f>
        <v>MICROMAX ZN EDTA X 5KG</v>
      </c>
      <c r="D259" s="400" t="str">
        <f>+IFERROR(INDEX([4]IMPORTS!$F:$F,MATCH($A259,[4]IMPORTS!$C:$C,0)),"")</f>
        <v>PPC ADOB Sp. z o.o. Sp. K.</v>
      </c>
      <c r="E259" s="465" t="str">
        <f>+IFERROR(INDEX([4]IMPORTS!$AF:$AF,MATCH($A259,[4]IMPORTS!$C:$C,0)),"")</f>
        <v>CALLAO</v>
      </c>
      <c r="F259" s="408">
        <f>+IFERROR(INDEX([4]IMPORTS!$Y:$Y,MATCH($A259,[4]IMPORTS!$C:$C,0)),"")</f>
        <v>44281</v>
      </c>
      <c r="G259" s="408">
        <f t="shared" si="46"/>
        <v>44279</v>
      </c>
      <c r="H259" s="402">
        <f>+IFERROR(INDEX([4]IMPORTS!$P:$P,MATCH($A259,[4]IMPORTS!$C:$C,0)),"")</f>
        <v>9</v>
      </c>
      <c r="I259" s="408" t="str">
        <f>+IFERROR(INDEX([4]IMPORTS!$R:$R,MATCH($A259,[4]IMPORTS!$C:$C,0)),"")</f>
        <v>CIF</v>
      </c>
      <c r="J259" s="409">
        <f>+IFERROR(INDEX([4]IMPORTS!$S:$S,MATCH($A259,[4]IMPORTS!$C:$C,0)),"")</f>
        <v>4680</v>
      </c>
      <c r="K259" s="403">
        <f t="shared" si="47"/>
        <v>42120</v>
      </c>
      <c r="L259" s="403">
        <f t="shared" si="41"/>
        <v>46.332000000000001</v>
      </c>
      <c r="M259" s="403">
        <f t="shared" ref="M259:M274" si="50">+K259+L259</f>
        <v>42166.332000000002</v>
      </c>
      <c r="N259" s="404">
        <f t="shared" ref="N259:N274" si="51">ROUND(M259*2%,0)</f>
        <v>843</v>
      </c>
      <c r="O259" s="404">
        <f t="shared" si="44"/>
        <v>6747</v>
      </c>
      <c r="P259" s="404">
        <f t="shared" si="45"/>
        <v>1741</v>
      </c>
      <c r="Q259" s="463">
        <f t="shared" si="48"/>
        <v>9331</v>
      </c>
      <c r="R259" s="464">
        <v>3.3610000000000002</v>
      </c>
      <c r="S259" s="463">
        <f t="shared" si="49"/>
        <v>31361.491000000002</v>
      </c>
      <c r="T259" s="397" t="s">
        <v>256</v>
      </c>
    </row>
    <row r="260" spans="1:20" ht="15" hidden="1" x14ac:dyDescent="0.25">
      <c r="A260" s="398" t="s">
        <v>2677</v>
      </c>
      <c r="B260" s="398"/>
      <c r="C260" s="400" t="str">
        <f>+IFERROR(INDEX([4]IMPORTS!$E:$E,MATCH($A260,[4]IMPORTS!$C:$C,0)),"")</f>
        <v>ÁCIDO FOSFÓRICO</v>
      </c>
      <c r="D260" s="400" t="str">
        <f>+IFERROR(INDEX([4]IMPORTS!$F:$F,MATCH($A260,[4]IMPORTS!$C:$C,0)),"")</f>
        <v>NITRON GROUP LLC</v>
      </c>
      <c r="E260" s="465" t="str">
        <f>+IFERROR(INDEX([4]IMPORTS!$AF:$AF,MATCH($A260,[4]IMPORTS!$C:$C,0)),"")</f>
        <v>PAITA</v>
      </c>
      <c r="F260" s="408">
        <f>+IFERROR(INDEX([4]IMPORTS!$Y:$Y,MATCH($A260,[4]IMPORTS!$C:$C,0)),"")</f>
        <v>44286</v>
      </c>
      <c r="G260" s="408">
        <f t="shared" si="46"/>
        <v>44284</v>
      </c>
      <c r="H260" s="402">
        <f>+IFERROR(INDEX([4]IMPORTS!$P:$P,MATCH($A260,[4]IMPORTS!$C:$C,0)),"")</f>
        <v>672</v>
      </c>
      <c r="I260" s="408" t="str">
        <f>+IFERROR(INDEX([4]IMPORTS!$R:$R,MATCH($A260,[4]IMPORTS!$C:$C,0)),"")</f>
        <v>CFR</v>
      </c>
      <c r="J260" s="409">
        <f>+IFERROR(INDEX([4]IMPORTS!$S:$S,MATCH($A260,[4]IMPORTS!$C:$C,0)),"")</f>
        <v>944.24</v>
      </c>
      <c r="K260" s="403">
        <f t="shared" si="47"/>
        <v>634529.28000000003</v>
      </c>
      <c r="L260" s="403">
        <f t="shared" si="41"/>
        <v>697.98220800000013</v>
      </c>
      <c r="M260" s="403">
        <f t="shared" si="50"/>
        <v>635227.26220800006</v>
      </c>
      <c r="N260" s="404">
        <f t="shared" si="51"/>
        <v>12705</v>
      </c>
      <c r="O260" s="404">
        <f t="shared" si="44"/>
        <v>101636</v>
      </c>
      <c r="P260" s="404">
        <f t="shared" si="45"/>
        <v>26235</v>
      </c>
      <c r="Q260" s="463">
        <f t="shared" si="48"/>
        <v>140576</v>
      </c>
      <c r="R260" s="464">
        <v>3.3610000000000002</v>
      </c>
      <c r="S260" s="463">
        <f t="shared" si="49"/>
        <v>472475.93600000005</v>
      </c>
      <c r="T260" s="397" t="s">
        <v>256</v>
      </c>
    </row>
    <row r="261" spans="1:20" ht="15" hidden="1" x14ac:dyDescent="0.25">
      <c r="A261" s="398" t="s">
        <v>2679</v>
      </c>
      <c r="B261" s="398"/>
      <c r="C261" s="400" t="str">
        <f>+IFERROR(INDEX([4]IMPORTS!$E:$E,MATCH($A261,[4]IMPORTS!$C:$C,0)),"")</f>
        <v>ÁCIDO FOSFÓRICO</v>
      </c>
      <c r="D261" s="400" t="str">
        <f>+IFERROR(INDEX([4]IMPORTS!$F:$F,MATCH($A261,[4]IMPORTS!$C:$C,0)),"")</f>
        <v>NITRON GROUP LLC</v>
      </c>
      <c r="E261" s="465" t="str">
        <f>+IFERROR(INDEX([4]IMPORTS!$AF:$AF,MATCH($A261,[4]IMPORTS!$C:$C,0)),"")</f>
        <v>CALLAO</v>
      </c>
      <c r="F261" s="408">
        <f>+IFERROR(INDEX([4]IMPORTS!$Y:$Y,MATCH($A261,[4]IMPORTS!$C:$C,0)),"")</f>
        <v>44288</v>
      </c>
      <c r="G261" s="408">
        <f t="shared" si="46"/>
        <v>44286</v>
      </c>
      <c r="H261" s="402">
        <f>+IFERROR(INDEX([4]IMPORTS!$P:$P,MATCH($A261,[4]IMPORTS!$C:$C,0)),"")</f>
        <v>216</v>
      </c>
      <c r="I261" s="408" t="str">
        <f>+IFERROR(INDEX([4]IMPORTS!$R:$R,MATCH($A261,[4]IMPORTS!$C:$C,0)),"")</f>
        <v>CFR</v>
      </c>
      <c r="J261" s="409">
        <f>+IFERROR(INDEX([4]IMPORTS!$S:$S,MATCH($A261,[4]IMPORTS!$C:$C,0)),"")</f>
        <v>920.83</v>
      </c>
      <c r="K261" s="403">
        <f t="shared" si="47"/>
        <v>198899.28</v>
      </c>
      <c r="L261" s="403">
        <f t="shared" si="41"/>
        <v>218.789208</v>
      </c>
      <c r="M261" s="403">
        <f t="shared" si="50"/>
        <v>199118.069208</v>
      </c>
      <c r="N261" s="404">
        <f t="shared" si="51"/>
        <v>3982</v>
      </c>
      <c r="O261" s="404">
        <f t="shared" si="44"/>
        <v>31859</v>
      </c>
      <c r="P261" s="404">
        <f t="shared" si="45"/>
        <v>8224</v>
      </c>
      <c r="Q261" s="463">
        <f t="shared" si="48"/>
        <v>44065</v>
      </c>
      <c r="R261" s="464">
        <v>3.3610000000000002</v>
      </c>
      <c r="S261" s="463">
        <f t="shared" si="49"/>
        <v>148102.465</v>
      </c>
      <c r="T261" s="397" t="s">
        <v>256</v>
      </c>
    </row>
    <row r="262" spans="1:20" ht="15" hidden="1" x14ac:dyDescent="0.25">
      <c r="A262" s="398" t="s">
        <v>2713</v>
      </c>
      <c r="B262" s="398"/>
      <c r="C262" s="400" t="str">
        <f>+IFERROR(INDEX([4]IMPORTS!$E:$E,MATCH($A262,[4]IMPORTS!$C:$C,0)),"")</f>
        <v>ÁCIDO FOSFÓRICO</v>
      </c>
      <c r="D262" s="400" t="str">
        <f>+IFERROR(INDEX([4]IMPORTS!$F:$F,MATCH($A262,[4]IMPORTS!$C:$C,0)),"")</f>
        <v>NITRON GROUP LLC</v>
      </c>
      <c r="E262" s="465" t="str">
        <f>+IFERROR(INDEX([4]IMPORTS!$AF:$AF,MATCH($A262,[4]IMPORTS!$C:$C,0)),"")</f>
        <v>MATARANI</v>
      </c>
      <c r="F262" s="408">
        <f>+IFERROR(INDEX([4]IMPORTS!$Y:$Y,MATCH($A262,[4]IMPORTS!$C:$C,0)),"")</f>
        <v>44302</v>
      </c>
      <c r="G262" s="408">
        <f t="shared" si="46"/>
        <v>44300</v>
      </c>
      <c r="H262" s="402">
        <f>+IFERROR(INDEX([4]IMPORTS!$P:$P,MATCH($A262,[4]IMPORTS!$C:$C,0)),"")</f>
        <v>168</v>
      </c>
      <c r="I262" s="408" t="str">
        <f>+IFERROR(INDEX([4]IMPORTS!$R:$R,MATCH($A262,[4]IMPORTS!$C:$C,0)),"")</f>
        <v>CFR</v>
      </c>
      <c r="J262" s="409">
        <f>+IFERROR(INDEX([4]IMPORTS!$S:$S,MATCH($A262,[4]IMPORTS!$C:$C,0)),"")</f>
        <v>1002</v>
      </c>
      <c r="K262" s="403">
        <f t="shared" si="47"/>
        <v>168336</v>
      </c>
      <c r="L262" s="403">
        <f t="shared" si="41"/>
        <v>185.1696</v>
      </c>
      <c r="M262" s="403">
        <f t="shared" si="50"/>
        <v>168521.16959999999</v>
      </c>
      <c r="N262" s="404">
        <f t="shared" si="51"/>
        <v>3370</v>
      </c>
      <c r="O262" s="404">
        <f t="shared" si="44"/>
        <v>26963</v>
      </c>
      <c r="P262" s="404">
        <f t="shared" si="45"/>
        <v>6960</v>
      </c>
      <c r="Q262" s="463">
        <f t="shared" si="48"/>
        <v>37293</v>
      </c>
      <c r="R262" s="464">
        <v>3.3610000000000002</v>
      </c>
      <c r="S262" s="463">
        <f t="shared" si="49"/>
        <v>125341.773</v>
      </c>
      <c r="T262" s="397" t="s">
        <v>256</v>
      </c>
    </row>
    <row r="263" spans="1:20" ht="15" hidden="1" x14ac:dyDescent="0.25">
      <c r="A263" s="398" t="s">
        <v>2508</v>
      </c>
      <c r="B263" s="398"/>
      <c r="C263" s="400" t="str">
        <f>+IFERROR(INDEX([4]IMPORTS!$E:$E,MATCH($A263,[4]IMPORTS!$C:$C,0)),"")</f>
        <v>NITRATO DE MAGNESIO HEXAHIDRATADO</v>
      </c>
      <c r="D263" s="400" t="str">
        <f>+IFERROR(INDEX([4]IMPORTS!$F:$F,MATCH($A263,[4]IMPORTS!$C:$C,0)),"")</f>
        <v>SOLINC INDUSTRIAL CO., LIMITED</v>
      </c>
      <c r="E263" s="465" t="str">
        <f>+IFERROR(INDEX([4]IMPORTS!$AF:$AF,MATCH($A263,[4]IMPORTS!$C:$C,0)),"")</f>
        <v>CALLAO</v>
      </c>
      <c r="F263" s="408">
        <f>+IFERROR(INDEX([4]IMPORTS!$Y:$Y,MATCH($A263,[4]IMPORTS!$C:$C,0)),"")</f>
        <v>44296</v>
      </c>
      <c r="G263" s="408">
        <f t="shared" si="46"/>
        <v>44294</v>
      </c>
      <c r="H263" s="402">
        <f>+IFERROR(INDEX([4]IMPORTS!$P:$P,MATCH($A263,[4]IMPORTS!$C:$C,0)),"")</f>
        <v>100.1</v>
      </c>
      <c r="I263" s="408" t="str">
        <f>+IFERROR(INDEX([4]IMPORTS!$R:$R,MATCH($A263,[4]IMPORTS!$C:$C,0)),"")</f>
        <v>CFR</v>
      </c>
      <c r="J263" s="409">
        <f>+IFERROR(INDEX([4]IMPORTS!$S:$S,MATCH($A263,[4]IMPORTS!$C:$C,0)),"")</f>
        <v>227</v>
      </c>
      <c r="K263" s="403">
        <f t="shared" si="47"/>
        <v>22722.699999999997</v>
      </c>
      <c r="L263" s="403">
        <f t="shared" si="41"/>
        <v>24.994969999999999</v>
      </c>
      <c r="M263" s="403">
        <f t="shared" si="50"/>
        <v>22747.694969999997</v>
      </c>
      <c r="N263" s="404">
        <f t="shared" si="51"/>
        <v>455</v>
      </c>
      <c r="O263" s="404">
        <f t="shared" si="44"/>
        <v>3640</v>
      </c>
      <c r="P263" s="404">
        <f t="shared" si="45"/>
        <v>939</v>
      </c>
      <c r="Q263" s="463">
        <f t="shared" si="48"/>
        <v>5034</v>
      </c>
      <c r="R263" s="464">
        <v>3.3610000000000002</v>
      </c>
      <c r="S263" s="463">
        <f t="shared" si="49"/>
        <v>16919.274000000001</v>
      </c>
      <c r="T263" s="397" t="s">
        <v>256</v>
      </c>
    </row>
    <row r="264" spans="1:20" ht="15" hidden="1" x14ac:dyDescent="0.25">
      <c r="A264" s="398" t="s">
        <v>2510</v>
      </c>
      <c r="B264" s="398"/>
      <c r="C264" s="400" t="str">
        <f>+IFERROR(INDEX([4]IMPORTS!$E:$E,MATCH($A264,[4]IMPORTS!$C:$C,0)),"")</f>
        <v>ÁCIDO FÚLVICO EN POLVO X25KG</v>
      </c>
      <c r="D264" s="400" t="str">
        <f>+IFERROR(INDEX([4]IMPORTS!$F:$F,MATCH($A264,[4]IMPORTS!$C:$C,0)),"")</f>
        <v>WEGROW AG</v>
      </c>
      <c r="E264" s="465" t="str">
        <f>+IFERROR(INDEX([4]IMPORTS!$AF:$AF,MATCH($A264,[4]IMPORTS!$C:$C,0)),"")</f>
        <v>CALLAO</v>
      </c>
      <c r="F264" s="408">
        <f>+IFERROR(INDEX([4]IMPORTS!$Y:$Y,MATCH($A264,[4]IMPORTS!$C:$C,0)),"")</f>
        <v>44290</v>
      </c>
      <c r="G264" s="408">
        <f t="shared" si="46"/>
        <v>44288</v>
      </c>
      <c r="H264" s="402">
        <f>+IFERROR(INDEX([4]IMPORTS!$P:$P,MATCH($A264,[4]IMPORTS!$C:$C,0)),"")</f>
        <v>32.25</v>
      </c>
      <c r="I264" s="408" t="str">
        <f>+IFERROR(INDEX([4]IMPORTS!$R:$R,MATCH($A264,[4]IMPORTS!$C:$C,0)),"")</f>
        <v>CFR</v>
      </c>
      <c r="J264" s="409">
        <f>+IFERROR(INDEX([4]IMPORTS!$S:$S,MATCH($A264,[4]IMPORTS!$C:$C,0)),"")</f>
        <v>710</v>
      </c>
      <c r="K264" s="403">
        <f t="shared" si="47"/>
        <v>22897.5</v>
      </c>
      <c r="L264" s="403">
        <f t="shared" si="41"/>
        <v>25.187250000000002</v>
      </c>
      <c r="M264" s="403">
        <f t="shared" si="50"/>
        <v>22922.687249999999</v>
      </c>
      <c r="N264" s="404">
        <f t="shared" si="51"/>
        <v>458</v>
      </c>
      <c r="O264" s="404">
        <f t="shared" si="44"/>
        <v>3668</v>
      </c>
      <c r="P264" s="404">
        <f t="shared" si="45"/>
        <v>947</v>
      </c>
      <c r="Q264" s="463">
        <f t="shared" si="48"/>
        <v>5073</v>
      </c>
      <c r="R264" s="464">
        <v>3.3610000000000002</v>
      </c>
      <c r="S264" s="463">
        <f t="shared" si="49"/>
        <v>17050.353000000003</v>
      </c>
      <c r="T264" s="397" t="s">
        <v>256</v>
      </c>
    </row>
    <row r="265" spans="1:20" ht="15" hidden="1" x14ac:dyDescent="0.25">
      <c r="A265" s="398" t="s">
        <v>2645</v>
      </c>
      <c r="B265" s="398"/>
      <c r="C265" s="400" t="str">
        <f>+IFERROR(INDEX([4]IMPORTS!$E:$E,MATCH($A265,[4]IMPORTS!$C:$C,0)),"")</f>
        <v>CR - MAG BIGBAG</v>
      </c>
      <c r="D265" s="400" t="str">
        <f>+IFERROR(INDEX([4]IMPORTS!$F:$F,MATCH($A265,[4]IMPORTS!$C:$C,0)),"")</f>
        <v>TIMAB</v>
      </c>
      <c r="E265" s="465" t="str">
        <f>+IFERROR(INDEX([4]IMPORTS!$AF:$AF,MATCH($A265,[4]IMPORTS!$C:$C,0)),"")</f>
        <v>CALLAO</v>
      </c>
      <c r="F265" s="408">
        <f>+IFERROR(INDEX([4]IMPORTS!$Y:$Y,MATCH($A265,[4]IMPORTS!$C:$C,0)),"")</f>
        <v>44356</v>
      </c>
      <c r="G265" s="408">
        <f t="shared" si="46"/>
        <v>44354</v>
      </c>
      <c r="H265" s="402">
        <f>+IFERROR(INDEX([4]IMPORTS!$P:$P,MATCH($A265,[4]IMPORTS!$C:$C,0)),"")</f>
        <v>100</v>
      </c>
      <c r="I265" s="408" t="str">
        <f>+IFERROR(INDEX([4]IMPORTS!$R:$R,MATCH($A265,[4]IMPORTS!$C:$C,0)),"")</f>
        <v>CIF</v>
      </c>
      <c r="J265" s="409">
        <f>+IFERROR(INDEX([4]IMPORTS!$S:$S,MATCH($A265,[4]IMPORTS!$C:$C,0)),"")</f>
        <v>358</v>
      </c>
      <c r="K265" s="403">
        <f t="shared" si="47"/>
        <v>35800</v>
      </c>
      <c r="L265" s="403">
        <f t="shared" si="41"/>
        <v>39.380000000000003</v>
      </c>
      <c r="M265" s="403">
        <f t="shared" si="50"/>
        <v>35839.379999999997</v>
      </c>
      <c r="N265" s="404">
        <f t="shared" si="51"/>
        <v>717</v>
      </c>
      <c r="O265" s="404">
        <f t="shared" si="44"/>
        <v>5734</v>
      </c>
      <c r="P265" s="404">
        <f t="shared" si="45"/>
        <v>1480</v>
      </c>
      <c r="Q265" s="463">
        <f t="shared" si="48"/>
        <v>7931</v>
      </c>
      <c r="R265" s="464">
        <v>3.3610000000000002</v>
      </c>
      <c r="S265" s="463">
        <f t="shared" si="49"/>
        <v>26656.091</v>
      </c>
      <c r="T265" s="397" t="s">
        <v>256</v>
      </c>
    </row>
    <row r="266" spans="1:20" ht="15" hidden="1" x14ac:dyDescent="0.25">
      <c r="A266" s="398" t="s">
        <v>2646</v>
      </c>
      <c r="B266" s="398"/>
      <c r="C266" s="400" t="str">
        <f>+IFERROR(INDEX([4]IMPORTS!$E:$E,MATCH($A266,[4]IMPORTS!$C:$C,0)),"")</f>
        <v>UREA ADBLUE (BIG BAG)</v>
      </c>
      <c r="D266" s="400" t="str">
        <f>+IFERROR(INDEX([4]IMPORTS!$F:$F,MATCH($A266,[4]IMPORTS!$C:$C,0)),"")</f>
        <v>PHOSAGRO</v>
      </c>
      <c r="E266" s="465" t="str">
        <f>+IFERROR(INDEX([4]IMPORTS!$AF:$AF,MATCH($A266,[4]IMPORTS!$C:$C,0)),"")</f>
        <v>CALLAO</v>
      </c>
      <c r="F266" s="408">
        <f>+IFERROR(INDEX([4]IMPORTS!$Y:$Y,MATCH($A266,[4]IMPORTS!$C:$C,0)),"")</f>
        <v>44309</v>
      </c>
      <c r="G266" s="408">
        <f t="shared" si="46"/>
        <v>44307</v>
      </c>
      <c r="H266" s="402">
        <f>+IFERROR(INDEX([4]IMPORTS!$P:$P,MATCH($A266,[4]IMPORTS!$C:$C,0)),"")</f>
        <v>892.80000000000007</v>
      </c>
      <c r="I266" s="408" t="str">
        <f>+IFERROR(INDEX([4]IMPORTS!$R:$R,MATCH($A266,[4]IMPORTS!$C:$C,0)),"")</f>
        <v>CFR</v>
      </c>
      <c r="J266" s="409">
        <f>+IFERROR(INDEX([4]IMPORTS!$S:$S,MATCH($A266,[4]IMPORTS!$C:$C,0)),"")</f>
        <v>365</v>
      </c>
      <c r="K266" s="403">
        <f t="shared" si="47"/>
        <v>325872</v>
      </c>
      <c r="L266" s="403">
        <f t="shared" si="41"/>
        <v>358.45920000000001</v>
      </c>
      <c r="M266" s="403">
        <f t="shared" si="50"/>
        <v>326230.45919999998</v>
      </c>
      <c r="N266" s="404">
        <f t="shared" si="51"/>
        <v>6525</v>
      </c>
      <c r="O266" s="404">
        <f t="shared" si="44"/>
        <v>52197</v>
      </c>
      <c r="P266" s="404">
        <f t="shared" si="45"/>
        <v>13473</v>
      </c>
      <c r="Q266" s="463">
        <f t="shared" si="48"/>
        <v>72195</v>
      </c>
      <c r="R266" s="464">
        <v>3.3610000000000002</v>
      </c>
      <c r="S266" s="463">
        <f t="shared" si="49"/>
        <v>242647.39500000002</v>
      </c>
      <c r="T266" s="397" t="s">
        <v>256</v>
      </c>
    </row>
    <row r="267" spans="1:20" ht="15" hidden="1" x14ac:dyDescent="0.25">
      <c r="A267" s="398" t="s">
        <v>2711</v>
      </c>
      <c r="B267" s="398"/>
      <c r="C267" s="400" t="str">
        <f>+IFERROR(INDEX([4]IMPORTS!$E:$E,MATCH($A267,[4]IMPORTS!$C:$C,0)),"")</f>
        <v>ÁCIDO FOSFÓRICO</v>
      </c>
      <c r="D267" s="400" t="str">
        <f>+IFERROR(INDEX([4]IMPORTS!$F:$F,MATCH($A267,[4]IMPORTS!$C:$C,0)),"")</f>
        <v>NITRON GROUP LLC</v>
      </c>
      <c r="E267" s="465" t="str">
        <f>+IFERROR(INDEX([4]IMPORTS!$AF:$AF,MATCH($A267,[4]IMPORTS!$C:$C,0)),"")</f>
        <v>PAITA</v>
      </c>
      <c r="F267" s="408">
        <f>+IFERROR(INDEX([4]IMPORTS!$Y:$Y,MATCH($A267,[4]IMPORTS!$C:$C,0)),"")</f>
        <v>44314</v>
      </c>
      <c r="G267" s="408">
        <f t="shared" si="46"/>
        <v>44312</v>
      </c>
      <c r="H267" s="402">
        <f>+IFERROR(INDEX([4]IMPORTS!$P:$P,MATCH($A267,[4]IMPORTS!$C:$C,0)),"")</f>
        <v>168</v>
      </c>
      <c r="I267" s="408" t="str">
        <f>+IFERROR(INDEX([4]IMPORTS!$R:$R,MATCH($A267,[4]IMPORTS!$C:$C,0)),"")</f>
        <v>CFR</v>
      </c>
      <c r="J267" s="409">
        <f>+IFERROR(INDEX([4]IMPORTS!$S:$S,MATCH($A267,[4]IMPORTS!$C:$C,0)),"")</f>
        <v>944.24</v>
      </c>
      <c r="K267" s="403">
        <f t="shared" si="47"/>
        <v>158632.32000000001</v>
      </c>
      <c r="L267" s="403">
        <f t="shared" si="41"/>
        <v>174.49555200000003</v>
      </c>
      <c r="M267" s="403">
        <f t="shared" si="50"/>
        <v>158806.81555200001</v>
      </c>
      <c r="N267" s="404">
        <f t="shared" si="51"/>
        <v>3176</v>
      </c>
      <c r="O267" s="404">
        <f t="shared" si="44"/>
        <v>25409</v>
      </c>
      <c r="P267" s="404">
        <f t="shared" si="45"/>
        <v>6559</v>
      </c>
      <c r="Q267" s="463">
        <f t="shared" si="48"/>
        <v>35144</v>
      </c>
      <c r="R267" s="464">
        <v>3.3610000000000002</v>
      </c>
      <c r="S267" s="463">
        <f t="shared" si="49"/>
        <v>118118.98400000001</v>
      </c>
      <c r="T267" s="397" t="s">
        <v>256</v>
      </c>
    </row>
    <row r="268" spans="1:20" ht="15" hidden="1" x14ac:dyDescent="0.25">
      <c r="A268" s="398" t="s">
        <v>2678</v>
      </c>
      <c r="B268" s="398"/>
      <c r="C268" s="400" t="str">
        <f>+IFERROR(INDEX([4]IMPORTS!$E:$E,MATCH($A268,[4]IMPORTS!$C:$C,0)),"")</f>
        <v>ÁCIDO FOSFÓRICO</v>
      </c>
      <c r="D268" s="400" t="str">
        <f>+IFERROR(INDEX([4]IMPORTS!$F:$F,MATCH($A268,[4]IMPORTS!$C:$C,0)),"")</f>
        <v>NITRON GROUP LLC</v>
      </c>
      <c r="E268" s="465" t="str">
        <f>+IFERROR(INDEX([4]IMPORTS!$AF:$AF,MATCH($A268,[4]IMPORTS!$C:$C,0)),"")</f>
        <v>PAITA</v>
      </c>
      <c r="F268" s="408">
        <f>+IFERROR(INDEX([4]IMPORTS!$Y:$Y,MATCH($A268,[4]IMPORTS!$C:$C,0)),"")</f>
        <v>44300</v>
      </c>
      <c r="G268" s="408">
        <f t="shared" si="46"/>
        <v>44298</v>
      </c>
      <c r="H268" s="402">
        <f>+IFERROR(INDEX([4]IMPORTS!$P:$P,MATCH($A268,[4]IMPORTS!$C:$C,0)),"")</f>
        <v>312</v>
      </c>
      <c r="I268" s="408" t="str">
        <f>+IFERROR(INDEX([4]IMPORTS!$R:$R,MATCH($A268,[4]IMPORTS!$C:$C,0)),"")</f>
        <v>CFR</v>
      </c>
      <c r="J268" s="409">
        <f>+IFERROR(INDEX([4]IMPORTS!$S:$S,MATCH($A268,[4]IMPORTS!$C:$C,0)),"")</f>
        <v>944.24</v>
      </c>
      <c r="K268" s="403">
        <f t="shared" si="47"/>
        <v>294602.88</v>
      </c>
      <c r="L268" s="403">
        <f t="shared" si="41"/>
        <v>324.06316800000002</v>
      </c>
      <c r="M268" s="403">
        <f t="shared" si="50"/>
        <v>294926.94316800003</v>
      </c>
      <c r="N268" s="404">
        <f t="shared" si="51"/>
        <v>5899</v>
      </c>
      <c r="O268" s="404">
        <f t="shared" si="44"/>
        <v>47188</v>
      </c>
      <c r="P268" s="404">
        <f t="shared" si="45"/>
        <v>12180</v>
      </c>
      <c r="Q268" s="463">
        <f t="shared" si="48"/>
        <v>65267</v>
      </c>
      <c r="R268" s="464">
        <v>3.3610000000000002</v>
      </c>
      <c r="S268" s="463">
        <f t="shared" si="49"/>
        <v>219362.38700000002</v>
      </c>
      <c r="T268" s="397" t="s">
        <v>256</v>
      </c>
    </row>
    <row r="269" spans="1:20" ht="15" hidden="1" x14ac:dyDescent="0.25">
      <c r="A269" s="398" t="s">
        <v>2680</v>
      </c>
      <c r="B269" s="398"/>
      <c r="C269" s="400" t="str">
        <f>+IFERROR(INDEX([4]IMPORTS!$E:$E,MATCH($A269,[4]IMPORTS!$C:$C,0)),"")</f>
        <v>ÁCIDO FOSFÓRICO</v>
      </c>
      <c r="D269" s="400" t="str">
        <f>+IFERROR(INDEX([4]IMPORTS!$F:$F,MATCH($A269,[4]IMPORTS!$C:$C,0)),"")</f>
        <v>NITRON GROUP LLC</v>
      </c>
      <c r="E269" s="465" t="str">
        <f>+IFERROR(INDEX([4]IMPORTS!$AF:$AF,MATCH($A269,[4]IMPORTS!$C:$C,0)),"")</f>
        <v>PAITA</v>
      </c>
      <c r="F269" s="408">
        <f>+IFERROR(INDEX([4]IMPORTS!$Y:$Y,MATCH($A269,[4]IMPORTS!$C:$C,0)),"")</f>
        <v>44300</v>
      </c>
      <c r="G269" s="408">
        <f t="shared" si="46"/>
        <v>44298</v>
      </c>
      <c r="H269" s="402">
        <f>+IFERROR(INDEX([4]IMPORTS!$P:$P,MATCH($A269,[4]IMPORTS!$C:$C,0)),"")</f>
        <v>264</v>
      </c>
      <c r="I269" s="408" t="str">
        <f>+IFERROR(INDEX([4]IMPORTS!$R:$R,MATCH($A269,[4]IMPORTS!$C:$C,0)),"")</f>
        <v>CFR</v>
      </c>
      <c r="J269" s="409">
        <f>+IFERROR(INDEX([4]IMPORTS!$S:$S,MATCH($A269,[4]IMPORTS!$C:$C,0)),"")</f>
        <v>1002</v>
      </c>
      <c r="K269" s="403">
        <f t="shared" si="47"/>
        <v>264528</v>
      </c>
      <c r="L269" s="403">
        <f t="shared" si="41"/>
        <v>290.98080000000004</v>
      </c>
      <c r="M269" s="403">
        <f t="shared" si="50"/>
        <v>264818.98080000002</v>
      </c>
      <c r="N269" s="404">
        <f t="shared" si="51"/>
        <v>5296</v>
      </c>
      <c r="O269" s="404">
        <f t="shared" si="44"/>
        <v>42371</v>
      </c>
      <c r="P269" s="404">
        <f t="shared" si="45"/>
        <v>10937</v>
      </c>
      <c r="Q269" s="463">
        <f t="shared" si="48"/>
        <v>58604</v>
      </c>
      <c r="R269" s="464">
        <v>3.3610000000000002</v>
      </c>
      <c r="S269" s="463">
        <f t="shared" si="49"/>
        <v>196968.04400000002</v>
      </c>
      <c r="T269" s="397" t="s">
        <v>256</v>
      </c>
    </row>
    <row r="270" spans="1:20" ht="15" hidden="1" x14ac:dyDescent="0.25">
      <c r="A270" s="398" t="s">
        <v>2683</v>
      </c>
      <c r="B270" s="398"/>
      <c r="C270" s="400" t="str">
        <f>+IFERROR(INDEX([4]IMPORTS!$E:$E,MATCH($A270,[4]IMPORTS!$C:$C,0)),"")</f>
        <v>ÁCIDO FOSFÓRICO</v>
      </c>
      <c r="D270" s="400" t="str">
        <f>+IFERROR(INDEX([4]IMPORTS!$F:$F,MATCH($A270,[4]IMPORTS!$C:$C,0)),"")</f>
        <v>NITRON GROUP LLC</v>
      </c>
      <c r="E270" s="465" t="str">
        <f>+IFERROR(INDEX([4]IMPORTS!$AF:$AF,MATCH($A270,[4]IMPORTS!$C:$C,0)),"")</f>
        <v>CALLAO</v>
      </c>
      <c r="F270" s="408">
        <f>+IFERROR(INDEX([4]IMPORTS!$Y:$Y,MATCH($A270,[4]IMPORTS!$C:$C,0)),"")</f>
        <v>44312</v>
      </c>
      <c r="G270" s="408">
        <f t="shared" si="46"/>
        <v>44310</v>
      </c>
      <c r="H270" s="402">
        <f>+IFERROR(INDEX([4]IMPORTS!$P:$P,MATCH($A270,[4]IMPORTS!$C:$C,0)),"")</f>
        <v>312</v>
      </c>
      <c r="I270" s="408" t="str">
        <f>+IFERROR(INDEX([4]IMPORTS!$R:$R,MATCH($A270,[4]IMPORTS!$C:$C,0)),"")</f>
        <v>CFR</v>
      </c>
      <c r="J270" s="409">
        <f>+IFERROR(INDEX([4]IMPORTS!$S:$S,MATCH($A270,[4]IMPORTS!$C:$C,0)),"")</f>
        <v>980</v>
      </c>
      <c r="K270" s="403">
        <f t="shared" si="47"/>
        <v>305760</v>
      </c>
      <c r="L270" s="403">
        <f t="shared" si="41"/>
        <v>336.33600000000001</v>
      </c>
      <c r="M270" s="403">
        <f t="shared" si="50"/>
        <v>306096.33600000001</v>
      </c>
      <c r="N270" s="404">
        <f t="shared" si="51"/>
        <v>6122</v>
      </c>
      <c r="O270" s="404">
        <f t="shared" si="44"/>
        <v>48975</v>
      </c>
      <c r="P270" s="404">
        <f t="shared" si="45"/>
        <v>12642</v>
      </c>
      <c r="Q270" s="463">
        <f t="shared" si="48"/>
        <v>67739</v>
      </c>
      <c r="R270" s="464">
        <v>3.3610000000000002</v>
      </c>
      <c r="S270" s="463">
        <f t="shared" si="49"/>
        <v>227670.77900000001</v>
      </c>
      <c r="T270" s="397" t="s">
        <v>256</v>
      </c>
    </row>
    <row r="271" spans="1:20" ht="15" hidden="1" x14ac:dyDescent="0.25">
      <c r="A271" s="398" t="s">
        <v>2691</v>
      </c>
      <c r="B271" s="398"/>
      <c r="C271" s="400" t="str">
        <f>+IFERROR(INDEX([4]IMPORTS!$E:$E,MATCH($A271,[4]IMPORTS!$C:$C,0)),"")</f>
        <v>POTASHPLUS A GRANEL</v>
      </c>
      <c r="D271" s="400" t="str">
        <f>+IFERROR(INDEX([4]IMPORTS!$F:$F,MATCH($A271,[4]IMPORTS!$C:$C,0)),"")</f>
        <v>ICL EUROPE COOPERATIEF U.A.</v>
      </c>
      <c r="E271" s="465" t="str">
        <f>+IFERROR(INDEX([4]IMPORTS!$AF:$AF,MATCH($A271,[4]IMPORTS!$C:$C,0)),"")</f>
        <v>CALLAO</v>
      </c>
      <c r="F271" s="408">
        <f>+IFERROR(INDEX([4]IMPORTS!$Y:$Y,MATCH($A271,[4]IMPORTS!$C:$C,0)),"")</f>
        <v>44303</v>
      </c>
      <c r="G271" s="408">
        <f t="shared" si="46"/>
        <v>44301</v>
      </c>
      <c r="H271" s="402">
        <f>+IFERROR(INDEX([4]IMPORTS!$P:$P,MATCH($A271,[4]IMPORTS!$C:$C,0)),"")</f>
        <v>307.92</v>
      </c>
      <c r="I271" s="408" t="str">
        <f>+IFERROR(INDEX([4]IMPORTS!$R:$R,MATCH($A271,[4]IMPORTS!$C:$C,0)),"")</f>
        <v>CFR</v>
      </c>
      <c r="J271" s="409">
        <f>+IFERROR(INDEX([4]IMPORTS!$S:$S,MATCH($A271,[4]IMPORTS!$C:$C,0)),"")</f>
        <v>255</v>
      </c>
      <c r="K271" s="403">
        <f t="shared" si="47"/>
        <v>78519.600000000006</v>
      </c>
      <c r="L271" s="403">
        <f t="shared" si="41"/>
        <v>86.371560000000017</v>
      </c>
      <c r="M271" s="403">
        <f t="shared" si="50"/>
        <v>78605.971560000005</v>
      </c>
      <c r="N271" s="404">
        <f t="shared" si="51"/>
        <v>1572</v>
      </c>
      <c r="O271" s="404">
        <f t="shared" si="44"/>
        <v>12577</v>
      </c>
      <c r="P271" s="404">
        <f t="shared" si="45"/>
        <v>3246</v>
      </c>
      <c r="Q271" s="463">
        <f t="shared" si="48"/>
        <v>17395</v>
      </c>
      <c r="R271" s="464">
        <v>3.3610000000000002</v>
      </c>
      <c r="S271" s="463">
        <f t="shared" si="49"/>
        <v>58464.595000000001</v>
      </c>
      <c r="T271" s="397" t="s">
        <v>256</v>
      </c>
    </row>
    <row r="272" spans="1:20" ht="15" hidden="1" x14ac:dyDescent="0.25">
      <c r="A272" s="398" t="s">
        <v>2692</v>
      </c>
      <c r="B272" s="398"/>
      <c r="C272" s="400" t="str">
        <f>+IFERROR(INDEX([4]IMPORTS!$E:$E,MATCH($A272,[4]IMPORTS!$C:$C,0)),"")</f>
        <v>POTASHPLUS A GRANEL</v>
      </c>
      <c r="D272" s="400" t="str">
        <f>+IFERROR(INDEX([4]IMPORTS!$F:$F,MATCH($A272,[4]IMPORTS!$C:$C,0)),"")</f>
        <v>ICL EUROPE COOPERATIEF U.A.</v>
      </c>
      <c r="E272" s="465" t="str">
        <f>+IFERROR(INDEX([4]IMPORTS!$AF:$AF,MATCH($A272,[4]IMPORTS!$C:$C,0)),"")</f>
        <v>PAITA</v>
      </c>
      <c r="F272" s="408">
        <f>+IFERROR(INDEX([4]IMPORTS!$Y:$Y,MATCH($A272,[4]IMPORTS!$C:$C,0)),"")</f>
        <v>44316</v>
      </c>
      <c r="G272" s="408">
        <f t="shared" si="46"/>
        <v>44314</v>
      </c>
      <c r="H272" s="402">
        <f>+IFERROR(INDEX([4]IMPORTS!$P:$P,MATCH($A272,[4]IMPORTS!$C:$C,0)),"")</f>
        <v>139.82</v>
      </c>
      <c r="I272" s="408" t="str">
        <f>+IFERROR(INDEX([4]IMPORTS!$R:$R,MATCH($A272,[4]IMPORTS!$C:$C,0)),"")</f>
        <v>CFR</v>
      </c>
      <c r="J272" s="409">
        <f>+IFERROR(INDEX([4]IMPORTS!$S:$S,MATCH($A272,[4]IMPORTS!$C:$C,0)),"")</f>
        <v>255</v>
      </c>
      <c r="K272" s="403">
        <f t="shared" si="47"/>
        <v>35654.1</v>
      </c>
      <c r="L272" s="403">
        <f t="shared" si="41"/>
        <v>39.21951</v>
      </c>
      <c r="M272" s="403">
        <f t="shared" si="50"/>
        <v>35693.319510000001</v>
      </c>
      <c r="N272" s="404">
        <f t="shared" si="51"/>
        <v>714</v>
      </c>
      <c r="O272" s="404">
        <f t="shared" si="44"/>
        <v>5711</v>
      </c>
      <c r="P272" s="404">
        <f t="shared" si="45"/>
        <v>1474</v>
      </c>
      <c r="Q272" s="463">
        <f t="shared" si="48"/>
        <v>7899</v>
      </c>
      <c r="R272" s="464">
        <v>3.3610000000000002</v>
      </c>
      <c r="S272" s="463">
        <f t="shared" si="49"/>
        <v>26548.539000000001</v>
      </c>
      <c r="T272" s="397" t="s">
        <v>256</v>
      </c>
    </row>
    <row r="273" spans="1:21" ht="15" hidden="1" x14ac:dyDescent="0.25">
      <c r="A273" s="398" t="s">
        <v>2990</v>
      </c>
      <c r="B273" s="398"/>
      <c r="C273" s="400" t="str">
        <f>+IFERROR(INDEX([4]IMPORTS!$E:$E,MATCH($A273,[4]IMPORTS!$C:$C,0)),"")</f>
        <v>SULFATO DE ZINC HEPTAHIDRATADO</v>
      </c>
      <c r="D273" s="400" t="str">
        <f>+IFERROR(INDEX([4]IMPORTS!$F:$F,MATCH($A273,[4]IMPORTS!$C:$C,0)),"")</f>
        <v>WEGROW AG</v>
      </c>
      <c r="E273" s="465" t="str">
        <f>+IFERROR(INDEX([4]IMPORTS!$AF:$AF,MATCH($A273,[4]IMPORTS!$C:$C,0)),"")</f>
        <v>PAITA</v>
      </c>
      <c r="F273" s="408">
        <f>+IFERROR(INDEX([4]IMPORTS!$Y:$Y,MATCH($A273,[4]IMPORTS!$C:$C,0)),"")</f>
        <v>44342</v>
      </c>
      <c r="G273" s="408">
        <f t="shared" si="46"/>
        <v>44340</v>
      </c>
      <c r="H273" s="402">
        <f>+IFERROR(INDEX([4]IMPORTS!$P:$P,MATCH($A273,[4]IMPORTS!$C:$C,0)),"")</f>
        <v>243</v>
      </c>
      <c r="I273" s="408" t="str">
        <f>+IFERROR(INDEX([4]IMPORTS!$R:$R,MATCH($A273,[4]IMPORTS!$C:$C,0)),"")</f>
        <v>CPT</v>
      </c>
      <c r="J273" s="409">
        <f>+IFERROR(INDEX([4]IMPORTS!$S:$S,MATCH($A273,[4]IMPORTS!$C:$C,0)),"")</f>
        <v>605</v>
      </c>
      <c r="K273" s="403">
        <f t="shared" si="47"/>
        <v>147015</v>
      </c>
      <c r="L273" s="403">
        <f t="shared" si="41"/>
        <v>161.7165</v>
      </c>
      <c r="M273" s="403">
        <f t="shared" si="50"/>
        <v>147176.71650000001</v>
      </c>
      <c r="N273" s="404">
        <f t="shared" si="51"/>
        <v>2944</v>
      </c>
      <c r="O273" s="404">
        <f t="shared" si="44"/>
        <v>23548</v>
      </c>
      <c r="P273" s="404">
        <f t="shared" si="45"/>
        <v>6078</v>
      </c>
      <c r="Q273" s="463">
        <f t="shared" si="48"/>
        <v>32570</v>
      </c>
      <c r="R273" s="464">
        <v>3.3610000000000002</v>
      </c>
      <c r="S273" s="463">
        <f t="shared" si="49"/>
        <v>109467.77</v>
      </c>
      <c r="T273" s="397" t="s">
        <v>256</v>
      </c>
    </row>
    <row r="274" spans="1:21" ht="15" hidden="1" x14ac:dyDescent="0.25">
      <c r="A274" s="398" t="s">
        <v>3006</v>
      </c>
      <c r="B274" s="398"/>
      <c r="C274" s="400" t="str">
        <f>+IFERROR(INDEX([4]IMPORTS!$E:$E,MATCH($A274,[4]IMPORTS!$C:$C,0)),"")</f>
        <v xml:space="preserve">SULFATO DE MAGNESIO HEPTAHIDRATADO </v>
      </c>
      <c r="D274" s="400" t="str">
        <f>+IFERROR(INDEX([4]IMPORTS!$F:$F,MATCH($A274,[4]IMPORTS!$C:$C,0)),"")</f>
        <v>STAR GRACE MINING CO.,LTD</v>
      </c>
      <c r="E274" s="465" t="str">
        <f>+IFERROR(INDEX([4]IMPORTS!$AF:$AF,MATCH($A274,[4]IMPORTS!$C:$C,0)),"")</f>
        <v>CALLAO</v>
      </c>
      <c r="F274" s="408">
        <f>+IFERROR(INDEX([4]IMPORTS!$Y:$Y,MATCH($A274,[4]IMPORTS!$C:$C,0)),"")</f>
        <v>44367</v>
      </c>
      <c r="G274" s="408">
        <f t="shared" si="46"/>
        <v>44365</v>
      </c>
      <c r="H274" s="402">
        <f>+IFERROR(INDEX([4]IMPORTS!$P:$P,MATCH($A274,[4]IMPORTS!$C:$C,0)),"")</f>
        <v>1300</v>
      </c>
      <c r="I274" s="408" t="str">
        <f>+IFERROR(INDEX([4]IMPORTS!$R:$R,MATCH($A274,[4]IMPORTS!$C:$C,0)),"")</f>
        <v>CFR</v>
      </c>
      <c r="J274" s="409">
        <f>+IFERROR(INDEX([4]IMPORTS!$S:$S,MATCH($A274,[4]IMPORTS!$C:$C,0)),"")</f>
        <v>101</v>
      </c>
      <c r="K274" s="403">
        <f t="shared" si="47"/>
        <v>131300</v>
      </c>
      <c r="L274" s="403">
        <f t="shared" si="41"/>
        <v>144.43</v>
      </c>
      <c r="M274" s="403">
        <f t="shared" si="50"/>
        <v>131444.43</v>
      </c>
      <c r="N274" s="404">
        <f t="shared" si="51"/>
        <v>2629</v>
      </c>
      <c r="O274" s="404">
        <f t="shared" si="44"/>
        <v>21031</v>
      </c>
      <c r="P274" s="404">
        <f t="shared" si="45"/>
        <v>5429</v>
      </c>
      <c r="Q274" s="463">
        <f t="shared" si="48"/>
        <v>29089</v>
      </c>
      <c r="R274" s="464">
        <v>3.3610000000000002</v>
      </c>
      <c r="S274" s="463">
        <f t="shared" si="49"/>
        <v>97768.129000000001</v>
      </c>
      <c r="T274" s="397" t="s">
        <v>256</v>
      </c>
    </row>
    <row r="275" spans="1:21" ht="15" hidden="1" x14ac:dyDescent="0.25">
      <c r="A275" s="398" t="s">
        <v>2909</v>
      </c>
      <c r="B275" s="398"/>
      <c r="C275" s="400" t="str">
        <f>+IFERROR(INDEX([4]IMPORTS!$E:$E,MATCH($A275,[4]IMPORTS!$C:$C,0)),"")</f>
        <v>TIOSULFATO DE CALCIO</v>
      </c>
      <c r="D275" s="400" t="str">
        <f>+IFERROR(INDEX([4]IMPORTS!$F:$F,MATCH($A275,[4]IMPORTS!$C:$C,0)),"")</f>
        <v>WEGROW AG</v>
      </c>
      <c r="E275" s="465" t="str">
        <f>+IFERROR(INDEX([4]IMPORTS!$AF:$AF,MATCH($A275,[4]IMPORTS!$C:$C,0)),"")</f>
        <v>CALLAO</v>
      </c>
      <c r="F275" s="408">
        <f>+IFERROR(INDEX([4]IMPORTS!$Y:$Y,MATCH($A275,[4]IMPORTS!$C:$C,0)),"")</f>
        <v>44314</v>
      </c>
      <c r="G275" s="408">
        <f t="shared" si="46"/>
        <v>44312</v>
      </c>
      <c r="H275" s="402">
        <f>+IFERROR(INDEX([4]IMPORTS!$P:$P,MATCH($A275,[4]IMPORTS!$C:$C,0)),"")</f>
        <v>24.8</v>
      </c>
      <c r="I275" s="408" t="str">
        <f>+IFERROR(INDEX([4]IMPORTS!$R:$R,MATCH($A275,[4]IMPORTS!$C:$C,0)),"")</f>
        <v>CPT</v>
      </c>
      <c r="J275" s="409">
        <f>+IFERROR(INDEX([4]IMPORTS!$S:$S,MATCH($A275,[4]IMPORTS!$C:$C,0)),"")</f>
        <v>960</v>
      </c>
      <c r="K275" s="403">
        <f t="shared" si="47"/>
        <v>23808</v>
      </c>
      <c r="L275" s="403">
        <f t="shared" ref="L275:L284" si="52">+K275*0.11%</f>
        <v>26.188800000000001</v>
      </c>
      <c r="M275" s="403">
        <f t="shared" ref="M275:M284" si="53">+K275+L275</f>
        <v>23834.1888</v>
      </c>
      <c r="N275" s="404">
        <f t="shared" ref="N275:N284" si="54">ROUND(M275*2%,0)</f>
        <v>477</v>
      </c>
      <c r="O275" s="404">
        <f t="shared" ref="O275:O284" si="55">ROUND(M275*16%,0)</f>
        <v>3813</v>
      </c>
      <c r="P275" s="404">
        <f t="shared" ref="P275:P284" si="56">ROUND((M275+N275+O275)*3.5%,0)</f>
        <v>984</v>
      </c>
      <c r="Q275" s="463">
        <f t="shared" si="48"/>
        <v>5274</v>
      </c>
      <c r="R275" s="464">
        <v>3.3610000000000002</v>
      </c>
      <c r="S275" s="463">
        <f t="shared" si="49"/>
        <v>17725.914000000001</v>
      </c>
      <c r="T275" s="397" t="s">
        <v>256</v>
      </c>
    </row>
    <row r="276" spans="1:21" ht="15" hidden="1" x14ac:dyDescent="0.25">
      <c r="A276" s="398" t="s">
        <v>2684</v>
      </c>
      <c r="B276" s="398"/>
      <c r="C276" s="400" t="str">
        <f>+IFERROR(INDEX([4]IMPORTS!$E:$E,MATCH($A276,[4]IMPORTS!$C:$C,0)),"")</f>
        <v>ÁCIDO FOSFÓRICO</v>
      </c>
      <c r="D276" s="400" t="str">
        <f>+IFERROR(INDEX([4]IMPORTS!$F:$F,MATCH($A276,[4]IMPORTS!$C:$C,0)),"")</f>
        <v>NITRON GROUP LLC</v>
      </c>
      <c r="E276" s="465" t="str">
        <f>+IFERROR(INDEX([4]IMPORTS!$AF:$AF,MATCH($A276,[4]IMPORTS!$C:$C,0)),"")</f>
        <v>CALLAO</v>
      </c>
      <c r="F276" s="408">
        <f>+IFERROR(INDEX([4]IMPORTS!$Y:$Y,MATCH($A276,[4]IMPORTS!$C:$C,0)),"")</f>
        <v>44336</v>
      </c>
      <c r="G276" s="408">
        <f t="shared" si="46"/>
        <v>44334</v>
      </c>
      <c r="H276" s="402">
        <f>+IFERROR(INDEX([4]IMPORTS!$P:$P,MATCH($A276,[4]IMPORTS!$C:$C,0)),"")</f>
        <v>408</v>
      </c>
      <c r="I276" s="408" t="str">
        <f>+IFERROR(INDEX([4]IMPORTS!$R:$R,MATCH($A276,[4]IMPORTS!$C:$C,0)),"")</f>
        <v>CFR</v>
      </c>
      <c r="J276" s="409">
        <f>+IFERROR(INDEX([4]IMPORTS!$S:$S,MATCH($A276,[4]IMPORTS!$C:$C,0)),"")</f>
        <v>980</v>
      </c>
      <c r="K276" s="403">
        <f t="shared" si="47"/>
        <v>399840</v>
      </c>
      <c r="L276" s="403">
        <f t="shared" si="52"/>
        <v>439.82400000000001</v>
      </c>
      <c r="M276" s="403">
        <f t="shared" si="53"/>
        <v>400279.82400000002</v>
      </c>
      <c r="N276" s="404">
        <f t="shared" si="54"/>
        <v>8006</v>
      </c>
      <c r="O276" s="404">
        <f t="shared" si="55"/>
        <v>64045</v>
      </c>
      <c r="P276" s="404">
        <f t="shared" si="56"/>
        <v>16532</v>
      </c>
      <c r="Q276" s="463">
        <f t="shared" si="48"/>
        <v>88583</v>
      </c>
      <c r="R276" s="464">
        <v>3.3610000000000002</v>
      </c>
      <c r="S276" s="463">
        <f t="shared" si="49"/>
        <v>297727.46300000005</v>
      </c>
      <c r="T276" s="397" t="s">
        <v>256</v>
      </c>
    </row>
    <row r="277" spans="1:21" ht="15" hidden="1" x14ac:dyDescent="0.25">
      <c r="A277" s="398" t="s">
        <v>2712</v>
      </c>
      <c r="B277" s="398"/>
      <c r="C277" s="400" t="str">
        <f>+IFERROR(INDEX([4]IMPORTS!$E:$E,MATCH($A277,[4]IMPORTS!$C:$C,0)),"")</f>
        <v>SULFATO FERROSO HEPTAHIDRATADO</v>
      </c>
      <c r="D277" s="400" t="str">
        <f>+IFERROR(INDEX([4]IMPORTS!$F:$F,MATCH($A277,[4]IMPORTS!$C:$C,0)),"")</f>
        <v>VALUDOR Products LLC</v>
      </c>
      <c r="E277" s="465" t="str">
        <f>+IFERROR(INDEX([4]IMPORTS!$AF:$AF,MATCH($A277,[4]IMPORTS!$C:$C,0)),"")</f>
        <v>CALLAO</v>
      </c>
      <c r="F277" s="408">
        <f>+IFERROR(INDEX([4]IMPORTS!$Y:$Y,MATCH($A277,[4]IMPORTS!$C:$C,0)),"")</f>
        <v>44347</v>
      </c>
      <c r="G277" s="408">
        <f t="shared" si="46"/>
        <v>44345</v>
      </c>
      <c r="H277" s="402">
        <f>+IFERROR(INDEX([4]IMPORTS!$P:$P,MATCH($A277,[4]IMPORTS!$C:$C,0)),"")</f>
        <v>57.5</v>
      </c>
      <c r="I277" s="408" t="str">
        <f>+IFERROR(INDEX([4]IMPORTS!$R:$R,MATCH($A277,[4]IMPORTS!$C:$C,0)),"")</f>
        <v>CFR</v>
      </c>
      <c r="J277" s="409">
        <f>+IFERROR(INDEX([4]IMPORTS!$S:$S,MATCH($A277,[4]IMPORTS!$C:$C,0)),"")</f>
        <v>113</v>
      </c>
      <c r="K277" s="403">
        <f t="shared" si="47"/>
        <v>6497.5</v>
      </c>
      <c r="L277" s="403">
        <f t="shared" si="52"/>
        <v>7.1472500000000005</v>
      </c>
      <c r="M277" s="403">
        <f t="shared" si="53"/>
        <v>6504.64725</v>
      </c>
      <c r="N277" s="404">
        <f t="shared" si="54"/>
        <v>130</v>
      </c>
      <c r="O277" s="404">
        <f t="shared" si="55"/>
        <v>1041</v>
      </c>
      <c r="P277" s="404">
        <f t="shared" si="56"/>
        <v>269</v>
      </c>
      <c r="Q277" s="463">
        <f t="shared" si="48"/>
        <v>1440</v>
      </c>
      <c r="R277" s="464">
        <v>3.3610000000000002</v>
      </c>
      <c r="S277" s="463">
        <f t="shared" si="49"/>
        <v>4839.84</v>
      </c>
      <c r="T277" s="397" t="s">
        <v>256</v>
      </c>
    </row>
    <row r="278" spans="1:21" ht="15" hidden="1" x14ac:dyDescent="0.25">
      <c r="A278" s="398" t="s">
        <v>2714</v>
      </c>
      <c r="B278" s="398"/>
      <c r="C278" s="400" t="str">
        <f>+IFERROR(INDEX([4]IMPORTS!$E:$E,MATCH($A278,[4]IMPORTS!$C:$C,0)),"")</f>
        <v>ÁCIDO FOSFÓRICO</v>
      </c>
      <c r="D278" s="400" t="str">
        <f>+IFERROR(INDEX([4]IMPORTS!$F:$F,MATCH($A278,[4]IMPORTS!$C:$C,0)),"")</f>
        <v>NITRON GROUP LLC</v>
      </c>
      <c r="E278" s="465" t="str">
        <f>+IFERROR(INDEX([4]IMPORTS!$AF:$AF,MATCH($A278,[4]IMPORTS!$C:$C,0)),"")</f>
        <v>MATARANI</v>
      </c>
      <c r="F278" s="408">
        <f>+IFERROR(INDEX([4]IMPORTS!$Y:$Y,MATCH($A278,[4]IMPORTS!$C:$C,0)),"")</f>
        <v>44366</v>
      </c>
      <c r="G278" s="408">
        <f t="shared" si="46"/>
        <v>44364</v>
      </c>
      <c r="H278" s="402">
        <f>+IFERROR(INDEX([4]IMPORTS!$P:$P,MATCH($A278,[4]IMPORTS!$C:$C,0)),"")</f>
        <v>48</v>
      </c>
      <c r="I278" s="408" t="str">
        <f>+IFERROR(INDEX([4]IMPORTS!$R:$R,MATCH($A278,[4]IMPORTS!$C:$C,0)),"")</f>
        <v>CFR</v>
      </c>
      <c r="J278" s="409">
        <f>+IFERROR(INDEX([4]IMPORTS!$S:$S,MATCH($A278,[4]IMPORTS!$C:$C,0)),"")</f>
        <v>1002</v>
      </c>
      <c r="K278" s="403">
        <f t="shared" si="47"/>
        <v>48096</v>
      </c>
      <c r="L278" s="403">
        <f t="shared" si="52"/>
        <v>52.9056</v>
      </c>
      <c r="M278" s="403">
        <f t="shared" si="53"/>
        <v>48148.905599999998</v>
      </c>
      <c r="N278" s="404">
        <f t="shared" si="54"/>
        <v>963</v>
      </c>
      <c r="O278" s="404">
        <f t="shared" si="55"/>
        <v>7704</v>
      </c>
      <c r="P278" s="404">
        <f t="shared" si="56"/>
        <v>1989</v>
      </c>
      <c r="Q278" s="463">
        <f t="shared" si="48"/>
        <v>10656</v>
      </c>
      <c r="R278" s="464">
        <v>3.3610000000000002</v>
      </c>
      <c r="S278" s="463">
        <f t="shared" si="49"/>
        <v>35814.815999999999</v>
      </c>
      <c r="T278" s="397" t="s">
        <v>256</v>
      </c>
    </row>
    <row r="279" spans="1:21" ht="15" hidden="1" x14ac:dyDescent="0.25">
      <c r="A279" s="398" t="s">
        <v>2991</v>
      </c>
      <c r="B279" s="398"/>
      <c r="C279" s="400" t="str">
        <f>+IFERROR(INDEX([4]IMPORTS!$E:$E,MATCH($A279,[4]IMPORTS!$C:$C,0)),"")</f>
        <v>SULFATO DE ZINC HEPTAHIDRATADO</v>
      </c>
      <c r="D279" s="400" t="str">
        <f>+IFERROR(INDEX([4]IMPORTS!$F:$F,MATCH($A279,[4]IMPORTS!$C:$C,0)),"")</f>
        <v>WEGROW AG</v>
      </c>
      <c r="E279" s="465" t="str">
        <f>+IFERROR(INDEX([4]IMPORTS!$AF:$AF,MATCH($A279,[4]IMPORTS!$C:$C,0)),"")</f>
        <v>PAITA</v>
      </c>
      <c r="F279" s="408">
        <f>+IFERROR(INDEX([4]IMPORTS!$Y:$Y,MATCH($A279,[4]IMPORTS!$C:$C,0)),"")</f>
        <v>44363</v>
      </c>
      <c r="G279" s="408">
        <f t="shared" si="46"/>
        <v>44361</v>
      </c>
      <c r="H279" s="402">
        <f>+IFERROR(INDEX([4]IMPORTS!$P:$P,MATCH($A279,[4]IMPORTS!$C:$C,0)),"")</f>
        <v>108</v>
      </c>
      <c r="I279" s="408" t="str">
        <f>+IFERROR(INDEX([4]IMPORTS!$R:$R,MATCH($A279,[4]IMPORTS!$C:$C,0)),"")</f>
        <v>CPT</v>
      </c>
      <c r="J279" s="409">
        <f>+IFERROR(INDEX([4]IMPORTS!$S:$S,MATCH($A279,[4]IMPORTS!$C:$C,0)),"")</f>
        <v>605</v>
      </c>
      <c r="K279" s="403">
        <f t="shared" si="47"/>
        <v>65340</v>
      </c>
      <c r="L279" s="403">
        <f t="shared" si="52"/>
        <v>71.874000000000009</v>
      </c>
      <c r="M279" s="403">
        <f t="shared" si="53"/>
        <v>65411.874000000003</v>
      </c>
      <c r="N279" s="404">
        <f t="shared" si="54"/>
        <v>1308</v>
      </c>
      <c r="O279" s="404">
        <f t="shared" si="55"/>
        <v>10466</v>
      </c>
      <c r="P279" s="404">
        <f t="shared" si="56"/>
        <v>2702</v>
      </c>
      <c r="Q279" s="463">
        <f t="shared" si="48"/>
        <v>14476</v>
      </c>
      <c r="R279" s="464">
        <v>3.3610000000000002</v>
      </c>
      <c r="S279" s="463">
        <f t="shared" si="49"/>
        <v>48653.836000000003</v>
      </c>
      <c r="T279" s="397" t="s">
        <v>256</v>
      </c>
    </row>
    <row r="280" spans="1:21" ht="15" hidden="1" x14ac:dyDescent="0.25">
      <c r="A280" s="398" t="s">
        <v>2717</v>
      </c>
      <c r="B280" s="398"/>
      <c r="C280" s="400" t="str">
        <f>+IFERROR(INDEX([4]IMPORTS!$E:$E,MATCH($A280,[4]IMPORTS!$C:$C,0)),"")</f>
        <v>NITRATO DE MAGNESIO HEXAHIDRATADO</v>
      </c>
      <c r="D280" s="400" t="str">
        <f>+IFERROR(INDEX([4]IMPORTS!$F:$F,MATCH($A280,[4]IMPORTS!$C:$C,0)),"")</f>
        <v>SOLINC INDUSTRIAL CO., LIMITED</v>
      </c>
      <c r="E280" s="465" t="str">
        <f>+IFERROR(INDEX([4]IMPORTS!$AF:$AF,MATCH($A280,[4]IMPORTS!$C:$C,0)),"")</f>
        <v>CALLAO</v>
      </c>
      <c r="F280" s="408">
        <f>+IFERROR(INDEX([4]IMPORTS!$Y:$Y,MATCH($A280,[4]IMPORTS!$C:$C,0)),"")</f>
        <v>44347</v>
      </c>
      <c r="G280" s="408">
        <f t="shared" si="46"/>
        <v>44345</v>
      </c>
      <c r="H280" s="402">
        <f>+IFERROR(INDEX([4]IMPORTS!$P:$P,MATCH($A280,[4]IMPORTS!$C:$C,0)),"")</f>
        <v>249.7</v>
      </c>
      <c r="I280" s="408" t="str">
        <f>+IFERROR(INDEX([4]IMPORTS!$R:$R,MATCH($A280,[4]IMPORTS!$C:$C,0)),"")</f>
        <v>CFR</v>
      </c>
      <c r="J280" s="409">
        <f>+IFERROR(INDEX([4]IMPORTS!$S:$S,MATCH($A280,[4]IMPORTS!$C:$C,0)),"")</f>
        <v>245</v>
      </c>
      <c r="K280" s="403">
        <f t="shared" si="47"/>
        <v>61176.5</v>
      </c>
      <c r="L280" s="403">
        <f t="shared" si="52"/>
        <v>67.294150000000002</v>
      </c>
      <c r="M280" s="403">
        <f t="shared" si="53"/>
        <v>61243.794150000002</v>
      </c>
      <c r="N280" s="404">
        <f t="shared" si="54"/>
        <v>1225</v>
      </c>
      <c r="O280" s="404">
        <f t="shared" si="55"/>
        <v>9799</v>
      </c>
      <c r="P280" s="404">
        <f t="shared" si="56"/>
        <v>2529</v>
      </c>
      <c r="Q280" s="463">
        <f t="shared" si="48"/>
        <v>13553</v>
      </c>
      <c r="R280" s="464">
        <v>3.3610000000000002</v>
      </c>
      <c r="S280" s="463">
        <f t="shared" si="49"/>
        <v>45551.633000000002</v>
      </c>
      <c r="T280" s="397" t="s">
        <v>256</v>
      </c>
    </row>
    <row r="281" spans="1:21" ht="15" hidden="1" x14ac:dyDescent="0.25">
      <c r="A281" s="398" t="s">
        <v>2875</v>
      </c>
      <c r="B281" s="398"/>
      <c r="C281" s="400" t="str">
        <f>+IFERROR(INDEX([4]IMPORTS!$E:$E,MATCH($A281,[4]IMPORTS!$C:$C,0)),"")</f>
        <v>NITRATO DE MAGNESIO HEXAHIDRATADO</v>
      </c>
      <c r="D281" s="400" t="str">
        <f>+IFERROR(INDEX([4]IMPORTS!$F:$F,MATCH($A281,[4]IMPORTS!$C:$C,0)),"")</f>
        <v>MITSUI &amp; CO., Ltda</v>
      </c>
      <c r="E281" s="465" t="str">
        <f>+IFERROR(INDEX([4]IMPORTS!$AF:$AF,MATCH($A281,[4]IMPORTS!$C:$C,0)),"")</f>
        <v>CALLAO</v>
      </c>
      <c r="F281" s="408">
        <f>+IFERROR(INDEX([4]IMPORTS!$Y:$Y,MATCH($A281,[4]IMPORTS!$C:$C,0)),"")</f>
        <v>44347</v>
      </c>
      <c r="G281" s="408">
        <f t="shared" si="46"/>
        <v>44345</v>
      </c>
      <c r="H281" s="402">
        <f>+IFERROR(INDEX([4]IMPORTS!$P:$P,MATCH($A281,[4]IMPORTS!$C:$C,0)),"")</f>
        <v>500</v>
      </c>
      <c r="I281" s="408" t="str">
        <f>+IFERROR(INDEX([4]IMPORTS!$R:$R,MATCH($A281,[4]IMPORTS!$C:$C,0)),"")</f>
        <v>CFR</v>
      </c>
      <c r="J281" s="409">
        <f>+IFERROR(INDEX([4]IMPORTS!$S:$S,MATCH($A281,[4]IMPORTS!$C:$C,0)),"")</f>
        <v>305</v>
      </c>
      <c r="K281" s="403">
        <f t="shared" si="47"/>
        <v>152500</v>
      </c>
      <c r="L281" s="403">
        <f t="shared" si="52"/>
        <v>167.75</v>
      </c>
      <c r="M281" s="403">
        <f t="shared" si="53"/>
        <v>152667.75</v>
      </c>
      <c r="N281" s="404">
        <f t="shared" si="54"/>
        <v>3053</v>
      </c>
      <c r="O281" s="404">
        <f t="shared" si="55"/>
        <v>24427</v>
      </c>
      <c r="P281" s="404">
        <f t="shared" si="56"/>
        <v>6305</v>
      </c>
      <c r="Q281" s="463">
        <f t="shared" si="48"/>
        <v>33785</v>
      </c>
      <c r="R281" s="464">
        <v>3.3610000000000002</v>
      </c>
      <c r="S281" s="463">
        <f t="shared" si="49"/>
        <v>113551.38500000001</v>
      </c>
      <c r="T281" s="397" t="s">
        <v>256</v>
      </c>
    </row>
    <row r="282" spans="1:21" ht="15" hidden="1" x14ac:dyDescent="0.25">
      <c r="A282" s="406" t="s">
        <v>3079</v>
      </c>
      <c r="B282" s="398"/>
      <c r="C282" s="400" t="str">
        <f>+IFERROR(INDEX([4]IMPORTS!$E:$E,MATCH($A282,[4]IMPORTS!$C:$C,0)),"")</f>
        <v>UREA ADBLUE (BIG BAG)</v>
      </c>
      <c r="D282" s="400" t="str">
        <f>+IFERROR(INDEX([4]IMPORTS!$F:$F,MATCH($A282,[4]IMPORTS!$C:$C,0)),"")</f>
        <v>PHOSAGRO</v>
      </c>
      <c r="E282" s="465" t="str">
        <f>+IFERROR(INDEX([4]IMPORTS!$AF:$AF,MATCH($A282,[4]IMPORTS!$C:$C,0)),"")</f>
        <v>CALLAO</v>
      </c>
      <c r="F282" s="408">
        <f>+IFERROR(INDEX([4]IMPORTS!$Y:$Y,MATCH($A282,[4]IMPORTS!$C:$C,0)),"")</f>
        <v>44367</v>
      </c>
      <c r="G282" s="408">
        <f t="shared" si="46"/>
        <v>44365</v>
      </c>
      <c r="H282" s="402">
        <f>+IFERROR(INDEX([4]IMPORTS!$P:$P,MATCH($A282,[4]IMPORTS!$C:$C,0)),"")</f>
        <v>86.4</v>
      </c>
      <c r="I282" s="408" t="str">
        <f>+IFERROR(INDEX([4]IMPORTS!$R:$R,MATCH($A282,[4]IMPORTS!$C:$C,0)),"")</f>
        <v>CFR</v>
      </c>
      <c r="J282" s="409">
        <f>+IFERROR(INDEX([4]IMPORTS!$S:$S,MATCH($A282,[4]IMPORTS!$C:$C,0)),"")</f>
        <v>365</v>
      </c>
      <c r="K282" s="403">
        <f t="shared" si="47"/>
        <v>31536.000000000004</v>
      </c>
      <c r="L282" s="403">
        <f t="shared" si="52"/>
        <v>34.689600000000006</v>
      </c>
      <c r="M282" s="403">
        <f t="shared" si="53"/>
        <v>31570.689600000005</v>
      </c>
      <c r="N282" s="404">
        <f t="shared" si="54"/>
        <v>631</v>
      </c>
      <c r="O282" s="404">
        <f t="shared" si="55"/>
        <v>5051</v>
      </c>
      <c r="P282" s="404">
        <f t="shared" si="56"/>
        <v>1304</v>
      </c>
      <c r="Q282" s="463">
        <f t="shared" si="48"/>
        <v>6986</v>
      </c>
      <c r="R282" s="464">
        <v>3.3610000000000002</v>
      </c>
      <c r="S282" s="463">
        <f t="shared" si="49"/>
        <v>23479.946</v>
      </c>
      <c r="T282" s="397" t="s">
        <v>256</v>
      </c>
      <c r="U282" s="376" t="s">
        <v>3080</v>
      </c>
    </row>
    <row r="283" spans="1:21" ht="15" hidden="1" x14ac:dyDescent="0.25">
      <c r="A283" s="398" t="s">
        <v>2686</v>
      </c>
      <c r="B283" s="398"/>
      <c r="C283" s="400" t="str">
        <f>+IFERROR(INDEX([4]IMPORTS!$E:$E,MATCH($A283,[4]IMPORTS!$C:$C,0)),"")</f>
        <v>CR - MAG BIGBAG</v>
      </c>
      <c r="D283" s="400" t="str">
        <f>+IFERROR(INDEX([4]IMPORTS!$F:$F,MATCH($A283,[4]IMPORTS!$C:$C,0)),"")</f>
        <v>TIMAB</v>
      </c>
      <c r="E283" s="465" t="str">
        <f>+IFERROR(INDEX([4]IMPORTS!$AF:$AF,MATCH($A283,[4]IMPORTS!$C:$C,0)),"")</f>
        <v>CALLAO</v>
      </c>
      <c r="F283" s="408">
        <f>+IFERROR(INDEX([4]IMPORTS!$Y:$Y,MATCH($A283,[4]IMPORTS!$C:$C,0)),"")</f>
        <v>44453</v>
      </c>
      <c r="G283" s="408">
        <f t="shared" si="46"/>
        <v>44451</v>
      </c>
      <c r="H283" s="402">
        <f>+IFERROR(INDEX([4]IMPORTS!$P:$P,MATCH($A283,[4]IMPORTS!$C:$C,0)),"")</f>
        <v>100</v>
      </c>
      <c r="I283" s="408" t="str">
        <f>+IFERROR(INDEX([4]IMPORTS!$R:$R,MATCH($A283,[4]IMPORTS!$C:$C,0)),"")</f>
        <v>CIF</v>
      </c>
      <c r="J283" s="409">
        <f>+IFERROR(INDEX([4]IMPORTS!$S:$S,MATCH($A283,[4]IMPORTS!$C:$C,0)),"")</f>
        <v>348</v>
      </c>
      <c r="K283" s="403">
        <f t="shared" si="47"/>
        <v>34800</v>
      </c>
      <c r="L283" s="403">
        <f t="shared" si="52"/>
        <v>38.28</v>
      </c>
      <c r="M283" s="403">
        <f t="shared" si="53"/>
        <v>34838.28</v>
      </c>
      <c r="N283" s="404">
        <f t="shared" si="54"/>
        <v>697</v>
      </c>
      <c r="O283" s="404">
        <f t="shared" si="55"/>
        <v>5574</v>
      </c>
      <c r="P283" s="404">
        <f t="shared" si="56"/>
        <v>1439</v>
      </c>
      <c r="Q283" s="463">
        <f t="shared" si="48"/>
        <v>7710</v>
      </c>
      <c r="R283" s="464">
        <v>3.3610000000000002</v>
      </c>
      <c r="S283" s="463">
        <f t="shared" si="49"/>
        <v>25913.31</v>
      </c>
      <c r="T283" s="397" t="s">
        <v>256</v>
      </c>
    </row>
    <row r="284" spans="1:21" ht="15" hidden="1" x14ac:dyDescent="0.25">
      <c r="A284" s="406" t="s">
        <v>3546</v>
      </c>
      <c r="B284" s="407"/>
      <c r="C284" s="407" t="str">
        <f>+IFERROR(INDEX([4]IMPORTS!$E:$E,MATCH($A284,[4]IMPORTS!$C:$C,0)),"")</f>
        <v>ÁCIDO FOSFÓRICO</v>
      </c>
      <c r="D284" s="407" t="str">
        <f>+IFERROR(INDEX([4]IMPORTS!$F:$F,MATCH($A284,[4]IMPORTS!$C:$C,0)),"")</f>
        <v>WEGROW AG</v>
      </c>
      <c r="E284" s="466" t="str">
        <f>+IFERROR(INDEX([4]IMPORTS!$AF:$AF,MATCH($A284,[4]IMPORTS!$C:$C,0)),"")</f>
        <v>PAITA</v>
      </c>
      <c r="F284" s="408">
        <f>+IFERROR(INDEX([4]IMPORTS!$Y:$Y,MATCH($A284,[4]IMPORTS!$C:$C,0)),"")</f>
        <v>44498</v>
      </c>
      <c r="G284" s="408">
        <f t="shared" ref="G284:G293" si="57">+F284-2</f>
        <v>44496</v>
      </c>
      <c r="H284" s="402">
        <f>+IFERROR(INDEX([4]IMPORTS!$P:$P,MATCH($A284,[4]IMPORTS!$C:$C,0)),"")</f>
        <v>133</v>
      </c>
      <c r="I284" s="408" t="str">
        <f>+IFERROR(INDEX([4]IMPORTS!$R:$R,MATCH($A284,[4]IMPORTS!$C:$C,0)),"")</f>
        <v>CPT</v>
      </c>
      <c r="J284" s="409">
        <f>+IFERROR(INDEX([4]IMPORTS!$S:$S,MATCH($A284,[4]IMPORTS!$C:$C,0)),"")</f>
        <v>1691</v>
      </c>
      <c r="K284" s="403">
        <f t="shared" ref="K284" si="58">+H284*J284</f>
        <v>224903</v>
      </c>
      <c r="L284" s="403">
        <f t="shared" si="52"/>
        <v>247.39330000000001</v>
      </c>
      <c r="M284" s="403">
        <f t="shared" si="53"/>
        <v>225150.3933</v>
      </c>
      <c r="N284" s="404">
        <f t="shared" si="54"/>
        <v>4503</v>
      </c>
      <c r="O284" s="404">
        <f t="shared" si="55"/>
        <v>36024</v>
      </c>
      <c r="P284" s="404">
        <f t="shared" si="56"/>
        <v>9299</v>
      </c>
      <c r="Q284" s="463">
        <f>N284+O284+P284</f>
        <v>49826</v>
      </c>
      <c r="R284" s="463">
        <v>4</v>
      </c>
      <c r="S284" s="463">
        <f>Q284*R284</f>
        <v>199304</v>
      </c>
      <c r="T284" s="397" t="s">
        <v>256</v>
      </c>
    </row>
    <row r="285" spans="1:21" ht="15" hidden="1" x14ac:dyDescent="0.25">
      <c r="A285" s="406" t="s">
        <v>3547</v>
      </c>
      <c r="B285" s="407"/>
      <c r="C285" s="407" t="str">
        <f>+IFERROR(INDEX([4]IMPORTS!$E:$E,MATCH(A285,[4]IMPORTS!$C:$C,0)),"")</f>
        <v>ÁCIDO FOSFÓRICO</v>
      </c>
      <c r="D285" s="407" t="str">
        <f>+IFERROR(INDEX([4]IMPORTS!$F:$F,MATCH($A285,[4]IMPORTS!$C:$C,0)),"")</f>
        <v>WEGROW AG</v>
      </c>
      <c r="E285" s="466" t="str">
        <f>+IFERROR(INDEX([4]IMPORTS!$AF:$AF,MATCH($A285,[4]IMPORTS!$C:$C,0)),"")</f>
        <v>PAITA</v>
      </c>
      <c r="F285" s="408">
        <f>+IFERROR(INDEX([4]IMPORTS!$Y:$Y,MATCH($A285,[4]IMPORTS!$C:$C,0)),"")</f>
        <v>44498</v>
      </c>
      <c r="G285" s="408">
        <f t="shared" si="57"/>
        <v>44496</v>
      </c>
      <c r="H285" s="402">
        <f>+IFERROR(INDEX([4]IMPORTS!$P:$P,MATCH($A285,[4]IMPORTS!$C:$C,0)),"")</f>
        <v>79.8</v>
      </c>
      <c r="I285" s="408" t="str">
        <f>+IFERROR(INDEX([4]IMPORTS!$R:$R,MATCH($A285,[4]IMPORTS!$C:$C,0)),"")</f>
        <v>CPT</v>
      </c>
      <c r="J285" s="409">
        <f>+IFERROR(INDEX([4]IMPORTS!$S:$S,MATCH($A285,[4]IMPORTS!$C:$C,0)),"")</f>
        <v>1691</v>
      </c>
      <c r="K285" s="403">
        <f t="shared" ref="K285:K286" si="59">+H285*J285</f>
        <v>134941.79999999999</v>
      </c>
      <c r="L285" s="403">
        <f t="shared" ref="L285:L286" si="60">+K285*0.11%</f>
        <v>148.43598</v>
      </c>
      <c r="M285" s="403">
        <f t="shared" ref="M285:M286" si="61">+K285+L285</f>
        <v>135090.23598</v>
      </c>
      <c r="N285" s="404">
        <f t="shared" ref="N285:N286" si="62">ROUND(M285*2%,0)</f>
        <v>2702</v>
      </c>
      <c r="O285" s="404">
        <f t="shared" ref="O285:O286" si="63">ROUND(M285*16%,0)</f>
        <v>21614</v>
      </c>
      <c r="P285" s="404">
        <f t="shared" ref="P285:P286" si="64">ROUND((M285+N285+O285)*3.5%,0)</f>
        <v>5579</v>
      </c>
      <c r="Q285" s="463">
        <f t="shared" ref="Q285:Q286" si="65">N285+O285+P285</f>
        <v>29895</v>
      </c>
      <c r="R285" s="463">
        <v>4</v>
      </c>
      <c r="S285" s="463">
        <f t="shared" ref="S285:S286" si="66">Q285*R285</f>
        <v>119580</v>
      </c>
      <c r="T285" s="397" t="s">
        <v>256</v>
      </c>
    </row>
    <row r="286" spans="1:21" ht="15" hidden="1" x14ac:dyDescent="0.25">
      <c r="A286" s="406" t="s">
        <v>3548</v>
      </c>
      <c r="B286" s="407"/>
      <c r="C286" s="407" t="str">
        <f>+IFERROR(INDEX([4]IMPORTS!$E:$E,MATCH(A286,[4]IMPORTS!$C:$C,0)),"")</f>
        <v>ÁCIDO FOSFÓRICO</v>
      </c>
      <c r="D286" s="407" t="str">
        <f>+IFERROR(INDEX([4]IMPORTS!$F:$F,MATCH($A286,[4]IMPORTS!$C:$C,0)),"")</f>
        <v>WEGROW AG</v>
      </c>
      <c r="E286" s="466" t="str">
        <f>+IFERROR(INDEX([4]IMPORTS!$AF:$AF,MATCH($A286,[4]IMPORTS!$C:$C,0)),"")</f>
        <v>PAITA</v>
      </c>
      <c r="F286" s="408">
        <f>+IFERROR(INDEX([4]IMPORTS!$Y:$Y,MATCH($A286,[4]IMPORTS!$C:$C,0)),"")</f>
        <v>44498</v>
      </c>
      <c r="G286" s="408">
        <f t="shared" si="57"/>
        <v>44496</v>
      </c>
      <c r="H286" s="409">
        <f>+IFERROR(INDEX([4]IMPORTS!$P:$P,MATCH($A286,[4]IMPORTS!$C:$C,0)),"")</f>
        <v>79.8</v>
      </c>
      <c r="I286" s="408" t="str">
        <f>+IFERROR(INDEX([4]IMPORTS!$R:$R,MATCH($A286,[4]IMPORTS!$C:$C,0)),"")</f>
        <v>CPT</v>
      </c>
      <c r="J286" s="409">
        <f>+IFERROR(INDEX([4]IMPORTS!$S:$S,MATCH($A286,[4]IMPORTS!$C:$C,0)),"")</f>
        <v>1691</v>
      </c>
      <c r="K286" s="403">
        <f t="shared" si="59"/>
        <v>134941.79999999999</v>
      </c>
      <c r="L286" s="403">
        <f t="shared" si="60"/>
        <v>148.43598</v>
      </c>
      <c r="M286" s="403">
        <f t="shared" si="61"/>
        <v>135090.23598</v>
      </c>
      <c r="N286" s="404">
        <f t="shared" si="62"/>
        <v>2702</v>
      </c>
      <c r="O286" s="404">
        <f t="shared" si="63"/>
        <v>21614</v>
      </c>
      <c r="P286" s="404">
        <f t="shared" si="64"/>
        <v>5579</v>
      </c>
      <c r="Q286" s="404">
        <f t="shared" si="65"/>
        <v>29895</v>
      </c>
      <c r="R286" s="404">
        <v>4</v>
      </c>
      <c r="S286" s="404">
        <f t="shared" si="66"/>
        <v>119580</v>
      </c>
      <c r="T286" s="397" t="s">
        <v>256</v>
      </c>
    </row>
    <row r="287" spans="1:21" ht="15" hidden="1" x14ac:dyDescent="0.25">
      <c r="A287" s="406" t="s">
        <v>3320</v>
      </c>
      <c r="B287" s="407"/>
      <c r="C287" s="407" t="str">
        <f>+IFERROR(INDEX([4]IMPORTS!$E:$E,MATCH(A287,[4]IMPORTS!$C:$C,0)),"")</f>
        <v>SULFATO DE ZINC HEPTAHIDRATADO</v>
      </c>
      <c r="D287" s="407" t="str">
        <f>+IFERROR(INDEX([4]IMPORTS!$F:$F,MATCH($A287,[4]IMPORTS!$C:$C,0)),"")</f>
        <v>DREYMOOR</v>
      </c>
      <c r="E287" s="466" t="str">
        <f>+IFERROR(INDEX([4]IMPORTS!$AF:$AF,MATCH($A287,[4]IMPORTS!$C:$C,0)),"")</f>
        <v>CALLAO</v>
      </c>
      <c r="F287" s="408">
        <f>+IFERROR(INDEX([4]IMPORTS!$Y:$Y,MATCH($A287,[4]IMPORTS!$C:$C,0)),"")</f>
        <v>44514</v>
      </c>
      <c r="G287" s="408">
        <f t="shared" si="57"/>
        <v>44512</v>
      </c>
      <c r="H287" s="409">
        <f>+IFERROR(INDEX([4]IMPORTS!$P:$P,MATCH($A287,[4]IMPORTS!$C:$C,0)),"")</f>
        <v>350</v>
      </c>
      <c r="I287" s="408" t="str">
        <f>+IFERROR(INDEX([4]IMPORTS!$R:$R,MATCH($A287,[4]IMPORTS!$C:$C,0)),"")</f>
        <v>CFR</v>
      </c>
      <c r="J287" s="409">
        <f>+IFERROR(INDEX([4]IMPORTS!$S:$S,MATCH($A287,[4]IMPORTS!$C:$C,0)),"")</f>
        <v>765</v>
      </c>
      <c r="K287" s="403">
        <f t="shared" ref="K287:K293" si="67">+H287*J287</f>
        <v>267750</v>
      </c>
      <c r="L287" s="403">
        <f t="shared" ref="L287:L298" si="68">+K287*0.11%</f>
        <v>294.52500000000003</v>
      </c>
      <c r="M287" s="403">
        <f t="shared" ref="M287:M298" si="69">+K287+L287</f>
        <v>268044.52500000002</v>
      </c>
      <c r="N287" s="404">
        <f t="shared" ref="N287:N298" si="70">ROUND(M287*2%,0)</f>
        <v>5361</v>
      </c>
      <c r="O287" s="404">
        <f t="shared" ref="O287:O298" si="71">ROUND(M287*16%,0)</f>
        <v>42887</v>
      </c>
      <c r="P287" s="404">
        <f t="shared" ref="P287:P298" si="72">ROUND((M287+N287+O287)*3.5%,0)</f>
        <v>11070</v>
      </c>
      <c r="Q287" s="404">
        <f t="shared" ref="Q287:Q298" si="73">N287+O287+P287</f>
        <v>59318</v>
      </c>
      <c r="R287" s="404">
        <v>4</v>
      </c>
      <c r="S287" s="404">
        <f t="shared" ref="S287:S298" si="74">Q287*R287</f>
        <v>237272</v>
      </c>
      <c r="T287" s="397" t="s">
        <v>256</v>
      </c>
    </row>
    <row r="288" spans="1:21" ht="15" hidden="1" x14ac:dyDescent="0.25">
      <c r="A288" s="406" t="s">
        <v>3321</v>
      </c>
      <c r="B288" s="407"/>
      <c r="C288" s="407" t="str">
        <f>+IFERROR(INDEX([4]IMPORTS!$E:$E,MATCH(A288,[4]IMPORTS!$C:$C,0)),"")</f>
        <v>SULFATO FERROSO HEPTAHIDRATADO</v>
      </c>
      <c r="D288" s="407" t="str">
        <f>+IFERROR(INDEX([4]IMPORTS!$F:$F,MATCH($A288,[4]IMPORTS!$C:$C,0)),"")</f>
        <v>DREYMOOR</v>
      </c>
      <c r="E288" s="466" t="str">
        <f>+IFERROR(INDEX([4]IMPORTS!$AF:$AF,MATCH($A288,[4]IMPORTS!$C:$C,0)),"")</f>
        <v>CALLAO</v>
      </c>
      <c r="F288" s="408">
        <f>+IFERROR(INDEX([4]IMPORTS!$Y:$Y,MATCH($A288,[4]IMPORTS!$C:$C,0)),"")</f>
        <v>44525</v>
      </c>
      <c r="G288" s="408">
        <f t="shared" si="57"/>
        <v>44523</v>
      </c>
      <c r="H288" s="409">
        <f>+IFERROR(INDEX([4]IMPORTS!$P:$P,MATCH($A288,[4]IMPORTS!$C:$C,0)),"")</f>
        <v>65</v>
      </c>
      <c r="I288" s="408" t="str">
        <f>+IFERROR(INDEX([4]IMPORTS!$R:$R,MATCH($A288,[4]IMPORTS!$C:$C,0)),"")</f>
        <v>CIF</v>
      </c>
      <c r="J288" s="409">
        <f>+IFERROR(INDEX([4]IMPORTS!$S:$S,MATCH($A288,[4]IMPORTS!$C:$C,0)),"")</f>
        <v>209</v>
      </c>
      <c r="K288" s="403">
        <f t="shared" si="67"/>
        <v>13585</v>
      </c>
      <c r="L288" s="403">
        <f t="shared" si="68"/>
        <v>14.9435</v>
      </c>
      <c r="M288" s="403">
        <f t="shared" si="69"/>
        <v>13599.943499999999</v>
      </c>
      <c r="N288" s="404">
        <f t="shared" si="70"/>
        <v>272</v>
      </c>
      <c r="O288" s="404">
        <f t="shared" si="71"/>
        <v>2176</v>
      </c>
      <c r="P288" s="404">
        <f t="shared" si="72"/>
        <v>562</v>
      </c>
      <c r="Q288" s="404">
        <f t="shared" si="73"/>
        <v>3010</v>
      </c>
      <c r="R288" s="404">
        <v>4</v>
      </c>
      <c r="S288" s="404">
        <f t="shared" si="74"/>
        <v>12040</v>
      </c>
      <c r="T288" s="397" t="s">
        <v>256</v>
      </c>
    </row>
    <row r="289" spans="1:20" ht="15" hidden="1" x14ac:dyDescent="0.25">
      <c r="A289" s="406" t="s">
        <v>3549</v>
      </c>
      <c r="B289" s="407"/>
      <c r="C289" s="407" t="str">
        <f>+IFERROR(INDEX([4]IMPORTS!$E:$E,MATCH(A289,[4]IMPORTS!$C:$C,0)),"")</f>
        <v>ÁCIDO FOSFÓRICO</v>
      </c>
      <c r="D289" s="407" t="str">
        <f>+IFERROR(INDEX([4]IMPORTS!$F:$F,MATCH($A289,[4]IMPORTS!$C:$C,0)),"")</f>
        <v>WEGROW AG</v>
      </c>
      <c r="E289" s="466" t="str">
        <f>+IFERROR(INDEX([4]IMPORTS!$AF:$AF,MATCH($A289,[4]IMPORTS!$C:$C,0)),"")</f>
        <v>PAITA</v>
      </c>
      <c r="F289" s="408">
        <f>+IFERROR(INDEX([4]IMPORTS!$Y:$Y,MATCH($A289,[4]IMPORTS!$C:$C,0)),"")</f>
        <v>44547</v>
      </c>
      <c r="G289" s="408">
        <f t="shared" si="57"/>
        <v>44545</v>
      </c>
      <c r="H289" s="409">
        <f>+IFERROR(INDEX([4]IMPORTS!$P:$P,MATCH($A289,[4]IMPORTS!$C:$C,0)),"")</f>
        <v>307.39999999999998</v>
      </c>
      <c r="I289" s="408" t="str">
        <f>+IFERROR(INDEX([4]IMPORTS!$R:$R,MATCH($A289,[4]IMPORTS!$C:$C,0)),"")</f>
        <v>CPT</v>
      </c>
      <c r="J289" s="409">
        <f>+IFERROR(INDEX([4]IMPORTS!$S:$S,MATCH($A289,[4]IMPORTS!$C:$C,0)),"")</f>
        <v>1691</v>
      </c>
      <c r="K289" s="403">
        <f t="shared" si="67"/>
        <v>519813.39999999997</v>
      </c>
      <c r="L289" s="403">
        <f t="shared" si="68"/>
        <v>571.79474000000005</v>
      </c>
      <c r="M289" s="403">
        <f t="shared" si="69"/>
        <v>520385.19473999995</v>
      </c>
      <c r="N289" s="404">
        <f t="shared" si="70"/>
        <v>10408</v>
      </c>
      <c r="O289" s="404">
        <f t="shared" si="71"/>
        <v>83262</v>
      </c>
      <c r="P289" s="404">
        <f t="shared" si="72"/>
        <v>21492</v>
      </c>
      <c r="Q289" s="404">
        <f t="shared" si="73"/>
        <v>115162</v>
      </c>
      <c r="R289" s="404">
        <v>4</v>
      </c>
      <c r="S289" s="404">
        <f t="shared" si="74"/>
        <v>460648</v>
      </c>
      <c r="T289" s="397" t="s">
        <v>256</v>
      </c>
    </row>
    <row r="290" spans="1:20" ht="15" hidden="1" x14ac:dyDescent="0.25">
      <c r="A290" s="406" t="s">
        <v>3412</v>
      </c>
      <c r="B290" s="407"/>
      <c r="C290" s="407" t="str">
        <f>+IFERROR(INDEX([4]IMPORTS!$E:$E,MATCH(A290,[4]IMPORTS!$C:$C,0)),"")</f>
        <v>NITRATO DE MAGNESIO HEXAHIDRATADO</v>
      </c>
      <c r="D290" s="407" t="str">
        <f>+IFERROR(INDEX([4]IMPORTS!$F:$F,MATCH($A290,[4]IMPORTS!$C:$C,0)),"")</f>
        <v>ECOCHEM GROUP CO.LTD</v>
      </c>
      <c r="E290" s="466" t="str">
        <f>+IFERROR(INDEX([4]IMPORTS!$AF:$AF,MATCH($A290,[4]IMPORTS!$C:$C,0)),"")</f>
        <v>CALLAO</v>
      </c>
      <c r="F290" s="408">
        <f>+IFERROR(INDEX([4]IMPORTS!$Y:$Y,MATCH($A290,[4]IMPORTS!$C:$C,0)),"")</f>
        <v>44528</v>
      </c>
      <c r="G290" s="408">
        <f t="shared" si="57"/>
        <v>44526</v>
      </c>
      <c r="H290" s="409">
        <f>+IFERROR(INDEX([4]IMPORTS!$P:$P,MATCH($A290,[4]IMPORTS!$C:$C,0)),"")</f>
        <v>175</v>
      </c>
      <c r="I290" s="408" t="str">
        <f>+IFERROR(INDEX([4]IMPORTS!$R:$R,MATCH($A290,[4]IMPORTS!$C:$C,0)),"")</f>
        <v>CIF</v>
      </c>
      <c r="J290" s="409">
        <f>+IFERROR(INDEX([4]IMPORTS!$S:$S,MATCH($A290,[4]IMPORTS!$C:$C,0)),"")</f>
        <v>395</v>
      </c>
      <c r="K290" s="403">
        <f t="shared" si="67"/>
        <v>69125</v>
      </c>
      <c r="L290" s="403">
        <f t="shared" si="68"/>
        <v>76.037500000000009</v>
      </c>
      <c r="M290" s="403">
        <f t="shared" si="69"/>
        <v>69201.037500000006</v>
      </c>
      <c r="N290" s="404">
        <f t="shared" si="70"/>
        <v>1384</v>
      </c>
      <c r="O290" s="404">
        <f t="shared" si="71"/>
        <v>11072</v>
      </c>
      <c r="P290" s="404">
        <f t="shared" si="72"/>
        <v>2858</v>
      </c>
      <c r="Q290" s="404">
        <f t="shared" si="73"/>
        <v>15314</v>
      </c>
      <c r="R290" s="404">
        <v>4</v>
      </c>
      <c r="S290" s="404">
        <f t="shared" si="74"/>
        <v>61256</v>
      </c>
      <c r="T290" s="397" t="s">
        <v>256</v>
      </c>
    </row>
    <row r="291" spans="1:20" ht="15" hidden="1" x14ac:dyDescent="0.25">
      <c r="A291" s="406" t="s">
        <v>3427</v>
      </c>
      <c r="B291" s="407"/>
      <c r="C291" s="407" t="str">
        <f>+IFERROR(INDEX([4]IMPORTS!$E:$E,MATCH(A291,[4]IMPORTS!$C:$C,0)),"")</f>
        <v>YARATERA REXOLIN ZN X 5KG</v>
      </c>
      <c r="D291" s="407" t="str">
        <f>+IFERROR(INDEX([4]IMPORTS!$F:$F,MATCH($A291,[4]IMPORTS!$C:$C,0)),"")</f>
        <v>YARA PERÚ SRL</v>
      </c>
      <c r="E291" s="466" t="str">
        <f>+IFERROR(INDEX([4]IMPORTS!$AF:$AF,MATCH($A291,[4]IMPORTS!$C:$C,0)),"")</f>
        <v>CALLAO</v>
      </c>
      <c r="F291" s="408">
        <f>+IFERROR(INDEX([4]IMPORTS!$Y:$Y,MATCH($A291,[4]IMPORTS!$C:$C,0)),"")</f>
        <v>44511</v>
      </c>
      <c r="G291" s="408">
        <f t="shared" si="57"/>
        <v>44509</v>
      </c>
      <c r="H291" s="409">
        <f>+IFERROR(INDEX([4]IMPORTS!$P:$P,MATCH($A291,[4]IMPORTS!$C:$C,0)),"")</f>
        <v>8</v>
      </c>
      <c r="I291" s="408" t="str">
        <f>+IFERROR(INDEX([4]IMPORTS!$R:$R,MATCH($A291,[4]IMPORTS!$C:$C,0)),"")</f>
        <v>CFR</v>
      </c>
      <c r="J291" s="409">
        <f>+IFERROR(INDEX([4]IMPORTS!$S:$S,MATCH($A291,[4]IMPORTS!$C:$C,0)),"")</f>
        <v>5560</v>
      </c>
      <c r="K291" s="403">
        <f t="shared" si="67"/>
        <v>44480</v>
      </c>
      <c r="L291" s="403">
        <f t="shared" si="68"/>
        <v>48.928000000000004</v>
      </c>
      <c r="M291" s="403">
        <f t="shared" si="69"/>
        <v>44528.928</v>
      </c>
      <c r="N291" s="404">
        <f t="shared" si="70"/>
        <v>891</v>
      </c>
      <c r="O291" s="404">
        <f t="shared" si="71"/>
        <v>7125</v>
      </c>
      <c r="P291" s="404">
        <f t="shared" si="72"/>
        <v>1839</v>
      </c>
      <c r="Q291" s="404">
        <f t="shared" si="73"/>
        <v>9855</v>
      </c>
      <c r="R291" s="404">
        <v>4</v>
      </c>
      <c r="S291" s="404">
        <f t="shared" si="74"/>
        <v>39420</v>
      </c>
      <c r="T291" s="397" t="s">
        <v>256</v>
      </c>
    </row>
    <row r="292" spans="1:20" ht="15" hidden="1" x14ac:dyDescent="0.25">
      <c r="A292" s="406" t="s">
        <v>3428</v>
      </c>
      <c r="B292" s="407"/>
      <c r="C292" s="407" t="str">
        <f>+IFERROR(INDEX([4]IMPORTS!$E:$E,MATCH(A292,[4]IMPORTS!$C:$C,0)),"")</f>
        <v>YARATERA REXOLIN ZN X 5KG</v>
      </c>
      <c r="D292" s="407" t="str">
        <f>+IFERROR(INDEX([4]IMPORTS!$F:$F,MATCH($A292,[4]IMPORTS!$C:$C,0)),"")</f>
        <v>YARA PERÚ SRL</v>
      </c>
      <c r="E292" s="466" t="str">
        <f>+IFERROR(INDEX([4]IMPORTS!$AF:$AF,MATCH($A292,[4]IMPORTS!$C:$C,0)),"")</f>
        <v>CALLAO</v>
      </c>
      <c r="F292" s="408">
        <f>+IFERROR(INDEX([4]IMPORTS!$Y:$Y,MATCH($A292,[4]IMPORTS!$C:$C,0)),"")</f>
        <v>44504</v>
      </c>
      <c r="G292" s="408">
        <f t="shared" si="57"/>
        <v>44502</v>
      </c>
      <c r="H292" s="409">
        <f>+IFERROR(INDEX([4]IMPORTS!$P:$P,MATCH($A292,[4]IMPORTS!$C:$C,0)),"")</f>
        <v>16</v>
      </c>
      <c r="I292" s="408" t="str">
        <f>+IFERROR(INDEX([4]IMPORTS!$R:$R,MATCH($A292,[4]IMPORTS!$C:$C,0)),"")</f>
        <v>CFR</v>
      </c>
      <c r="J292" s="409">
        <f>+IFERROR(INDEX([4]IMPORTS!$S:$S,MATCH($A292,[4]IMPORTS!$C:$C,0)),"")</f>
        <v>5500</v>
      </c>
      <c r="K292" s="403">
        <f t="shared" si="67"/>
        <v>88000</v>
      </c>
      <c r="L292" s="403">
        <f t="shared" si="68"/>
        <v>96.800000000000011</v>
      </c>
      <c r="M292" s="403">
        <f t="shared" si="69"/>
        <v>88096.8</v>
      </c>
      <c r="N292" s="404">
        <f t="shared" si="70"/>
        <v>1762</v>
      </c>
      <c r="O292" s="404">
        <f t="shared" si="71"/>
        <v>14095</v>
      </c>
      <c r="P292" s="404">
        <f t="shared" si="72"/>
        <v>3638</v>
      </c>
      <c r="Q292" s="404">
        <f t="shared" si="73"/>
        <v>19495</v>
      </c>
      <c r="R292" s="404">
        <v>4</v>
      </c>
      <c r="S292" s="404">
        <f t="shared" si="74"/>
        <v>77980</v>
      </c>
      <c r="T292" s="397" t="s">
        <v>256</v>
      </c>
    </row>
    <row r="293" spans="1:20" ht="15" hidden="1" x14ac:dyDescent="0.25">
      <c r="A293" s="406" t="s">
        <v>3559</v>
      </c>
      <c r="B293" s="407"/>
      <c r="C293" s="407" t="str">
        <f>+IFERROR(INDEX([4]IMPORTS!$E:$E,MATCH(A293,[4]IMPORTS!$C:$C,0)),"")</f>
        <v>YARATERA REXOLIN X60 X5KG</v>
      </c>
      <c r="D293" s="407" t="str">
        <f>+IFERROR(INDEX([4]IMPORTS!$F:$F,MATCH($A293,[4]IMPORTS!$C:$C,0)),"")</f>
        <v>YARA PERÚ SRL</v>
      </c>
      <c r="E293" s="466" t="str">
        <f>+IFERROR(INDEX([4]IMPORTS!$AF:$AF,MATCH($A293,[4]IMPORTS!$C:$C,0)),"")</f>
        <v>CALLAO</v>
      </c>
      <c r="F293" s="408">
        <f>+IFERROR(INDEX([4]IMPORTS!$Y:$Y,MATCH($A293,[4]IMPORTS!$C:$C,0)),"")</f>
        <v>44504</v>
      </c>
      <c r="G293" s="408">
        <f t="shared" si="57"/>
        <v>44502</v>
      </c>
      <c r="H293" s="409">
        <f>+IFERROR(INDEX([4]IMPORTS!$P:$P,MATCH($A293,[4]IMPORTS!$C:$C,0)),"")</f>
        <v>6.4</v>
      </c>
      <c r="I293" s="408" t="str">
        <f>+IFERROR(INDEX([4]IMPORTS!$R:$R,MATCH($A293,[4]IMPORTS!$C:$C,0)),"")</f>
        <v>CFR</v>
      </c>
      <c r="J293" s="409">
        <f>+IFERROR(INDEX([4]IMPORTS!$S:$S,MATCH($A293,[4]IMPORTS!$C:$C,0)),"")</f>
        <v>10000</v>
      </c>
      <c r="K293" s="403">
        <f t="shared" si="67"/>
        <v>64000</v>
      </c>
      <c r="L293" s="403">
        <f t="shared" si="68"/>
        <v>70.400000000000006</v>
      </c>
      <c r="M293" s="403">
        <f t="shared" si="69"/>
        <v>64070.400000000001</v>
      </c>
      <c r="N293" s="404">
        <f t="shared" si="70"/>
        <v>1281</v>
      </c>
      <c r="O293" s="404">
        <f t="shared" si="71"/>
        <v>10251</v>
      </c>
      <c r="P293" s="404">
        <f t="shared" si="72"/>
        <v>2646</v>
      </c>
      <c r="Q293" s="404">
        <f t="shared" si="73"/>
        <v>14178</v>
      </c>
      <c r="R293" s="404">
        <v>4</v>
      </c>
      <c r="S293" s="404">
        <f t="shared" si="74"/>
        <v>56712</v>
      </c>
      <c r="T293" s="397" t="s">
        <v>256</v>
      </c>
    </row>
    <row r="294" spans="1:20" ht="15" hidden="1" x14ac:dyDescent="0.25">
      <c r="A294" s="491" t="s">
        <v>3560</v>
      </c>
      <c r="B294" s="492"/>
      <c r="C294" s="407" t="s">
        <v>1754</v>
      </c>
      <c r="D294" s="493" t="s">
        <v>331</v>
      </c>
      <c r="E294" s="494" t="s">
        <v>828</v>
      </c>
      <c r="F294" s="494">
        <v>44540</v>
      </c>
      <c r="G294" s="495">
        <f>F294-2</f>
        <v>44538</v>
      </c>
      <c r="H294" s="496">
        <v>9.6</v>
      </c>
      <c r="I294" s="497" t="s">
        <v>3822</v>
      </c>
      <c r="J294" s="498">
        <v>10000</v>
      </c>
      <c r="K294" s="403">
        <f>H294*J294</f>
        <v>96000</v>
      </c>
      <c r="L294" s="403">
        <f t="shared" si="68"/>
        <v>105.60000000000001</v>
      </c>
      <c r="M294" s="403">
        <f t="shared" si="69"/>
        <v>96105.600000000006</v>
      </c>
      <c r="N294" s="404">
        <f t="shared" si="70"/>
        <v>1922</v>
      </c>
      <c r="O294" s="404">
        <f t="shared" si="71"/>
        <v>15377</v>
      </c>
      <c r="P294" s="404">
        <f t="shared" si="72"/>
        <v>3969</v>
      </c>
      <c r="Q294" s="404">
        <f t="shared" si="73"/>
        <v>21268</v>
      </c>
      <c r="R294" s="404">
        <v>4.16</v>
      </c>
      <c r="S294" s="404">
        <f t="shared" si="74"/>
        <v>88474.880000000005</v>
      </c>
      <c r="T294" s="410" t="s">
        <v>256</v>
      </c>
    </row>
    <row r="295" spans="1:20" ht="15" hidden="1" x14ac:dyDescent="0.25">
      <c r="A295" s="491" t="s">
        <v>3479</v>
      </c>
      <c r="B295" s="492"/>
      <c r="C295" s="407" t="s">
        <v>3480</v>
      </c>
      <c r="D295" s="493" t="s">
        <v>331</v>
      </c>
      <c r="E295" s="494" t="s">
        <v>828</v>
      </c>
      <c r="F295" s="494">
        <v>44540</v>
      </c>
      <c r="G295" s="495">
        <f t="shared" ref="G295:G297" si="75">F295-2</f>
        <v>44538</v>
      </c>
      <c r="H295" s="496">
        <v>2.8</v>
      </c>
      <c r="I295" s="497" t="s">
        <v>3822</v>
      </c>
      <c r="J295" s="498">
        <v>7200</v>
      </c>
      <c r="K295" s="403">
        <f t="shared" ref="K295:K298" si="76">H295*J295</f>
        <v>20160</v>
      </c>
      <c r="L295" s="403">
        <f t="shared" si="68"/>
        <v>22.176000000000002</v>
      </c>
      <c r="M295" s="403">
        <f t="shared" si="69"/>
        <v>20182.175999999999</v>
      </c>
      <c r="N295" s="404">
        <f t="shared" si="70"/>
        <v>404</v>
      </c>
      <c r="O295" s="404">
        <f t="shared" si="71"/>
        <v>3229</v>
      </c>
      <c r="P295" s="404">
        <f t="shared" si="72"/>
        <v>834</v>
      </c>
      <c r="Q295" s="404">
        <f t="shared" si="73"/>
        <v>4467</v>
      </c>
      <c r="R295" s="404">
        <v>4.16</v>
      </c>
      <c r="S295" s="404">
        <f t="shared" si="74"/>
        <v>18582.72</v>
      </c>
      <c r="T295" s="410" t="s">
        <v>256</v>
      </c>
    </row>
    <row r="296" spans="1:20" ht="15" hidden="1" x14ac:dyDescent="0.25">
      <c r="A296" s="491" t="s">
        <v>3566</v>
      </c>
      <c r="B296" s="492"/>
      <c r="C296" s="407" t="s">
        <v>3481</v>
      </c>
      <c r="D296" s="493" t="s">
        <v>331</v>
      </c>
      <c r="E296" s="494" t="s">
        <v>828</v>
      </c>
      <c r="F296" s="494">
        <v>44540</v>
      </c>
      <c r="G296" s="495">
        <f t="shared" si="75"/>
        <v>44538</v>
      </c>
      <c r="H296" s="496">
        <v>3.6</v>
      </c>
      <c r="I296" s="497" t="s">
        <v>3822</v>
      </c>
      <c r="J296" s="498">
        <v>8000</v>
      </c>
      <c r="K296" s="403">
        <f t="shared" si="76"/>
        <v>28800</v>
      </c>
      <c r="L296" s="403">
        <f t="shared" si="68"/>
        <v>31.680000000000003</v>
      </c>
      <c r="M296" s="403">
        <f t="shared" si="69"/>
        <v>28831.68</v>
      </c>
      <c r="N296" s="404">
        <f t="shared" si="70"/>
        <v>577</v>
      </c>
      <c r="O296" s="404">
        <f t="shared" si="71"/>
        <v>4613</v>
      </c>
      <c r="P296" s="404">
        <f t="shared" si="72"/>
        <v>1191</v>
      </c>
      <c r="Q296" s="404">
        <f t="shared" si="73"/>
        <v>6381</v>
      </c>
      <c r="R296" s="404">
        <v>4.16</v>
      </c>
      <c r="S296" s="404">
        <f t="shared" si="74"/>
        <v>26544.959999999999</v>
      </c>
      <c r="T296" s="410" t="s">
        <v>256</v>
      </c>
    </row>
    <row r="297" spans="1:20" ht="15" hidden="1" x14ac:dyDescent="0.25">
      <c r="A297" s="491" t="s">
        <v>3484</v>
      </c>
      <c r="B297" s="492"/>
      <c r="C297" s="407" t="s">
        <v>3485</v>
      </c>
      <c r="D297" s="493" t="s">
        <v>1497</v>
      </c>
      <c r="E297" s="494" t="s">
        <v>828</v>
      </c>
      <c r="F297" s="494">
        <v>44534</v>
      </c>
      <c r="G297" s="495">
        <f t="shared" si="75"/>
        <v>44532</v>
      </c>
      <c r="H297" s="496">
        <v>24.65</v>
      </c>
      <c r="I297" s="497" t="s">
        <v>3823</v>
      </c>
      <c r="J297" s="498">
        <v>1059</v>
      </c>
      <c r="K297" s="403">
        <f t="shared" si="76"/>
        <v>26104.35</v>
      </c>
      <c r="L297" s="403">
        <f t="shared" si="68"/>
        <v>28.714784999999999</v>
      </c>
      <c r="M297" s="403">
        <f t="shared" si="69"/>
        <v>26133.064784999999</v>
      </c>
      <c r="N297" s="404">
        <f t="shared" si="70"/>
        <v>523</v>
      </c>
      <c r="O297" s="404">
        <f t="shared" si="71"/>
        <v>4181</v>
      </c>
      <c r="P297" s="404">
        <f t="shared" si="72"/>
        <v>1079</v>
      </c>
      <c r="Q297" s="404">
        <f t="shared" si="73"/>
        <v>5783</v>
      </c>
      <c r="R297" s="404">
        <v>4.16</v>
      </c>
      <c r="S297" s="404">
        <f t="shared" si="74"/>
        <v>24057.280000000002</v>
      </c>
      <c r="T297" s="410" t="s">
        <v>256</v>
      </c>
    </row>
    <row r="298" spans="1:20" ht="15" hidden="1" x14ac:dyDescent="0.25">
      <c r="A298" s="491" t="s">
        <v>3680</v>
      </c>
      <c r="B298" s="492"/>
      <c r="C298" s="407" t="s">
        <v>3600</v>
      </c>
      <c r="D298" s="493" t="s">
        <v>42</v>
      </c>
      <c r="E298" s="494" t="s">
        <v>828</v>
      </c>
      <c r="F298" s="494">
        <v>44549</v>
      </c>
      <c r="G298" s="495">
        <f>F298-2</f>
        <v>44547</v>
      </c>
      <c r="H298" s="496">
        <v>49</v>
      </c>
      <c r="I298" s="497" t="s">
        <v>3824</v>
      </c>
      <c r="J298" s="498">
        <v>2100</v>
      </c>
      <c r="K298" s="403">
        <f t="shared" si="76"/>
        <v>102900</v>
      </c>
      <c r="L298" s="403">
        <f t="shared" si="68"/>
        <v>113.19000000000001</v>
      </c>
      <c r="M298" s="403">
        <f t="shared" si="69"/>
        <v>103013.19</v>
      </c>
      <c r="N298" s="404">
        <f t="shared" si="70"/>
        <v>2060</v>
      </c>
      <c r="O298" s="404">
        <f t="shared" si="71"/>
        <v>16482</v>
      </c>
      <c r="P298" s="404">
        <f t="shared" si="72"/>
        <v>4254</v>
      </c>
      <c r="Q298" s="404">
        <f t="shared" si="73"/>
        <v>22796</v>
      </c>
      <c r="R298" s="404">
        <v>4.16</v>
      </c>
      <c r="S298" s="404">
        <f t="shared" si="74"/>
        <v>94831.360000000001</v>
      </c>
      <c r="T298" s="410" t="s">
        <v>256</v>
      </c>
    </row>
    <row r="299" spans="1:20" ht="15" hidden="1" x14ac:dyDescent="0.25">
      <c r="A299" s="491" t="s">
        <v>3681</v>
      </c>
      <c r="B299" s="492"/>
      <c r="C299" s="509" t="s">
        <v>3600</v>
      </c>
      <c r="D299" s="493" t="s">
        <v>42</v>
      </c>
      <c r="E299" s="494" t="s">
        <v>828</v>
      </c>
      <c r="F299" s="510">
        <v>44570</v>
      </c>
      <c r="G299" s="495">
        <f t="shared" ref="G299:G311" si="77">F299-2</f>
        <v>44568</v>
      </c>
      <c r="H299" s="496">
        <v>49</v>
      </c>
      <c r="I299" s="497" t="s">
        <v>3824</v>
      </c>
      <c r="J299" s="511">
        <v>2100</v>
      </c>
      <c r="K299" s="403">
        <f t="shared" ref="K299:K311" si="78">H299*J299</f>
        <v>102900</v>
      </c>
      <c r="L299" s="403">
        <f t="shared" ref="L299" si="79">+K299*0.11%</f>
        <v>113.19000000000001</v>
      </c>
      <c r="M299" s="403">
        <f t="shared" ref="M299" si="80">+K299+L299</f>
        <v>103013.19</v>
      </c>
      <c r="N299" s="404">
        <f t="shared" ref="N299" si="81">ROUND(M299*2%,0)</f>
        <v>2060</v>
      </c>
      <c r="O299" s="404">
        <f t="shared" ref="O299" si="82">ROUND(M299*16%,0)</f>
        <v>16482</v>
      </c>
      <c r="P299" s="404">
        <f t="shared" ref="P299" si="83">ROUND((M299+N299+O299)*3.5%,0)</f>
        <v>4254</v>
      </c>
      <c r="Q299" s="404">
        <f t="shared" ref="Q299" si="84">N299+O299+P299</f>
        <v>22796</v>
      </c>
      <c r="R299" s="410">
        <v>3.976</v>
      </c>
      <c r="S299" s="404">
        <f t="shared" ref="S299" si="85">Q299*R299</f>
        <v>90636.895999999993</v>
      </c>
      <c r="T299" s="410" t="s">
        <v>256</v>
      </c>
    </row>
    <row r="300" spans="1:20" ht="15" hidden="1" x14ac:dyDescent="0.25">
      <c r="A300" s="491" t="s">
        <v>3507</v>
      </c>
      <c r="B300" s="492"/>
      <c r="C300" s="509" t="s">
        <v>1325</v>
      </c>
      <c r="D300" s="493" t="s">
        <v>928</v>
      </c>
      <c r="E300" s="494" t="s">
        <v>827</v>
      </c>
      <c r="F300" s="510">
        <v>44575</v>
      </c>
      <c r="G300" s="495">
        <f t="shared" si="77"/>
        <v>44573</v>
      </c>
      <c r="H300" s="512">
        <v>408</v>
      </c>
      <c r="I300" s="513" t="s">
        <v>3822</v>
      </c>
      <c r="J300" s="498">
        <v>1546</v>
      </c>
      <c r="K300" s="403">
        <f t="shared" si="78"/>
        <v>630768</v>
      </c>
      <c r="L300" s="403">
        <f t="shared" ref="L300:L302" si="86">+K300*0.11%</f>
        <v>693.84480000000008</v>
      </c>
      <c r="M300" s="403">
        <f t="shared" ref="M300:M302" si="87">+K300+L300</f>
        <v>631461.84479999996</v>
      </c>
      <c r="N300" s="404">
        <f t="shared" ref="N300:N302" si="88">ROUND(M300*2%,0)</f>
        <v>12629</v>
      </c>
      <c r="O300" s="404">
        <f t="shared" ref="O300:O302" si="89">ROUND(M300*16%,0)</f>
        <v>101034</v>
      </c>
      <c r="P300" s="404">
        <f t="shared" ref="P300:P302" si="90">ROUND((M300+N300+O300)*3.5%,0)</f>
        <v>26079</v>
      </c>
      <c r="Q300" s="404">
        <f t="shared" ref="Q300:Q302" si="91">N300+O300+P300</f>
        <v>139742</v>
      </c>
      <c r="R300" s="410">
        <v>3.976</v>
      </c>
      <c r="S300" s="404">
        <f t="shared" ref="S300:S311" si="92">Q300*R300</f>
        <v>555614.19200000004</v>
      </c>
      <c r="T300" s="410" t="s">
        <v>256</v>
      </c>
    </row>
    <row r="301" spans="1:20" ht="15" hidden="1" x14ac:dyDescent="0.25">
      <c r="A301" s="491" t="s">
        <v>3748</v>
      </c>
      <c r="B301" s="492"/>
      <c r="C301" s="509" t="s">
        <v>1293</v>
      </c>
      <c r="D301" s="493" t="s">
        <v>280</v>
      </c>
      <c r="E301" s="514" t="s">
        <v>828</v>
      </c>
      <c r="F301" s="510">
        <v>44579</v>
      </c>
      <c r="G301" s="495">
        <f t="shared" si="77"/>
        <v>44577</v>
      </c>
      <c r="H301" s="512">
        <v>700</v>
      </c>
      <c r="I301" s="513" t="s">
        <v>3822</v>
      </c>
      <c r="J301" s="498">
        <v>449</v>
      </c>
      <c r="K301" s="403">
        <f t="shared" si="78"/>
        <v>314300</v>
      </c>
      <c r="L301" s="403">
        <f t="shared" si="86"/>
        <v>345.73</v>
      </c>
      <c r="M301" s="403">
        <f t="shared" si="87"/>
        <v>314645.73</v>
      </c>
      <c r="N301" s="404">
        <f t="shared" si="88"/>
        <v>6293</v>
      </c>
      <c r="O301" s="404">
        <f t="shared" si="89"/>
        <v>50343</v>
      </c>
      <c r="P301" s="404">
        <f t="shared" si="90"/>
        <v>12995</v>
      </c>
      <c r="Q301" s="404">
        <f t="shared" si="91"/>
        <v>69631</v>
      </c>
      <c r="R301" s="410">
        <v>3.976</v>
      </c>
      <c r="S301" s="404">
        <f t="shared" si="92"/>
        <v>276852.85599999997</v>
      </c>
      <c r="T301" s="410" t="s">
        <v>256</v>
      </c>
    </row>
    <row r="302" spans="1:20" ht="15" hidden="1" x14ac:dyDescent="0.25">
      <c r="A302" s="491" t="s">
        <v>3763</v>
      </c>
      <c r="B302" s="492"/>
      <c r="C302" s="509" t="s">
        <v>1598</v>
      </c>
      <c r="D302" s="493" t="s">
        <v>1497</v>
      </c>
      <c r="E302" s="494" t="s">
        <v>828</v>
      </c>
      <c r="F302" s="510">
        <v>44582</v>
      </c>
      <c r="G302" s="495">
        <f t="shared" si="77"/>
        <v>44580</v>
      </c>
      <c r="H302" s="512">
        <v>10</v>
      </c>
      <c r="I302" s="513" t="s">
        <v>3823</v>
      </c>
      <c r="J302" s="498">
        <v>13400</v>
      </c>
      <c r="K302" s="403">
        <f t="shared" si="78"/>
        <v>134000</v>
      </c>
      <c r="L302" s="403">
        <f t="shared" si="86"/>
        <v>147.4</v>
      </c>
      <c r="M302" s="403">
        <f t="shared" si="87"/>
        <v>134147.4</v>
      </c>
      <c r="N302" s="404">
        <f t="shared" si="88"/>
        <v>2683</v>
      </c>
      <c r="O302" s="404">
        <f t="shared" si="89"/>
        <v>21464</v>
      </c>
      <c r="P302" s="404">
        <f t="shared" si="90"/>
        <v>5540</v>
      </c>
      <c r="Q302" s="404">
        <f t="shared" si="91"/>
        <v>29687</v>
      </c>
      <c r="R302" s="410">
        <v>3.976</v>
      </c>
      <c r="S302" s="404">
        <f t="shared" si="92"/>
        <v>118035.512</v>
      </c>
      <c r="T302" s="410" t="s">
        <v>256</v>
      </c>
    </row>
    <row r="303" spans="1:20" x14ac:dyDescent="0.3">
      <c r="A303" s="515" t="s">
        <v>3549</v>
      </c>
      <c r="B303" s="516" t="s">
        <v>3821</v>
      </c>
      <c r="C303" s="517" t="s">
        <v>1325</v>
      </c>
      <c r="D303" s="518" t="s">
        <v>1497</v>
      </c>
      <c r="E303" s="359" t="s">
        <v>828</v>
      </c>
      <c r="F303" s="486">
        <v>44621</v>
      </c>
      <c r="G303" s="482">
        <f t="shared" si="77"/>
        <v>44619</v>
      </c>
      <c r="H303" s="499">
        <v>79.8</v>
      </c>
      <c r="I303" s="500" t="s">
        <v>3823</v>
      </c>
      <c r="J303" s="487">
        <v>1691</v>
      </c>
      <c r="K303" s="403">
        <f t="shared" si="78"/>
        <v>134941.79999999999</v>
      </c>
      <c r="L303" s="403">
        <f t="shared" ref="L303:L311" si="93">+K303*0.11%</f>
        <v>148.43598</v>
      </c>
      <c r="M303" s="403">
        <f t="shared" ref="M303:M311" si="94">+K303+L303</f>
        <v>135090.23598</v>
      </c>
      <c r="N303" s="404">
        <f t="shared" ref="N303:N311" si="95">ROUND(M303*2%,0)</f>
        <v>2702</v>
      </c>
      <c r="O303" s="404">
        <f t="shared" ref="O303:O311" si="96">ROUND(M303*16%,0)</f>
        <v>21614</v>
      </c>
      <c r="P303" s="404">
        <f t="shared" ref="P303:P311" si="97">ROUND((M303+N303+O303)*3.5%,0)</f>
        <v>5579</v>
      </c>
      <c r="Q303" s="404">
        <f t="shared" ref="Q303:Q311" si="98">N303+O303+P303</f>
        <v>29895</v>
      </c>
      <c r="R303" s="410">
        <v>3.85</v>
      </c>
      <c r="S303" s="404">
        <f t="shared" si="92"/>
        <v>115095.75</v>
      </c>
      <c r="T303" s="410" t="s">
        <v>2375</v>
      </c>
    </row>
    <row r="304" spans="1:20" x14ac:dyDescent="0.3">
      <c r="A304" s="515" t="s">
        <v>3910</v>
      </c>
      <c r="B304" s="516" t="s">
        <v>3821</v>
      </c>
      <c r="C304" s="517" t="s">
        <v>1325</v>
      </c>
      <c r="D304" s="518" t="s">
        <v>1497</v>
      </c>
      <c r="E304" s="359" t="s">
        <v>828</v>
      </c>
      <c r="F304" s="486">
        <v>44621</v>
      </c>
      <c r="G304" s="482">
        <f t="shared" si="77"/>
        <v>44619</v>
      </c>
      <c r="H304" s="499">
        <v>106.4</v>
      </c>
      <c r="I304" s="500" t="s">
        <v>3823</v>
      </c>
      <c r="J304" s="487">
        <v>1691</v>
      </c>
      <c r="K304" s="403">
        <f t="shared" si="78"/>
        <v>179922.40000000002</v>
      </c>
      <c r="L304" s="403">
        <f t="shared" si="93"/>
        <v>197.91464000000005</v>
      </c>
      <c r="M304" s="403">
        <f t="shared" si="94"/>
        <v>180120.31464000003</v>
      </c>
      <c r="N304" s="404">
        <f t="shared" si="95"/>
        <v>3602</v>
      </c>
      <c r="O304" s="404">
        <f t="shared" si="96"/>
        <v>28819</v>
      </c>
      <c r="P304" s="404">
        <f t="shared" si="97"/>
        <v>7439</v>
      </c>
      <c r="Q304" s="404">
        <f t="shared" si="98"/>
        <v>39860</v>
      </c>
      <c r="R304" s="410">
        <v>3.85</v>
      </c>
      <c r="S304" s="404">
        <f t="shared" si="92"/>
        <v>153461</v>
      </c>
      <c r="T304" s="410" t="s">
        <v>2375</v>
      </c>
    </row>
    <row r="305" spans="1:20" x14ac:dyDescent="0.3">
      <c r="A305" s="515" t="s">
        <v>3598</v>
      </c>
      <c r="B305" s="516" t="s">
        <v>3821</v>
      </c>
      <c r="C305" s="517" t="s">
        <v>2000</v>
      </c>
      <c r="D305" s="518" t="s">
        <v>2727</v>
      </c>
      <c r="E305" s="359" t="s">
        <v>828</v>
      </c>
      <c r="F305" s="486">
        <v>44614</v>
      </c>
      <c r="G305" s="482">
        <f t="shared" si="77"/>
        <v>44612</v>
      </c>
      <c r="H305" s="499">
        <v>32.5</v>
      </c>
      <c r="I305" s="500" t="s">
        <v>3822</v>
      </c>
      <c r="J305" s="487">
        <v>2060</v>
      </c>
      <c r="K305" s="403">
        <f t="shared" si="78"/>
        <v>66950</v>
      </c>
      <c r="L305" s="403">
        <f t="shared" si="93"/>
        <v>73.64500000000001</v>
      </c>
      <c r="M305" s="403">
        <f t="shared" si="94"/>
        <v>67023.645000000004</v>
      </c>
      <c r="N305" s="404">
        <f t="shared" si="95"/>
        <v>1340</v>
      </c>
      <c r="O305" s="404">
        <f t="shared" si="96"/>
        <v>10724</v>
      </c>
      <c r="P305" s="404">
        <f t="shared" si="97"/>
        <v>2768</v>
      </c>
      <c r="Q305" s="404">
        <f t="shared" si="98"/>
        <v>14832</v>
      </c>
      <c r="R305" s="410">
        <v>3.85</v>
      </c>
      <c r="S305" s="404">
        <f t="shared" si="92"/>
        <v>57103.200000000004</v>
      </c>
      <c r="T305" s="410" t="s">
        <v>2375</v>
      </c>
    </row>
    <row r="306" spans="1:20" x14ac:dyDescent="0.3">
      <c r="A306" s="515" t="s">
        <v>3728</v>
      </c>
      <c r="B306" s="516" t="s">
        <v>3821</v>
      </c>
      <c r="C306" s="517" t="s">
        <v>1687</v>
      </c>
      <c r="D306" s="518" t="s">
        <v>1497</v>
      </c>
      <c r="E306" s="2" t="s">
        <v>828</v>
      </c>
      <c r="F306" s="486">
        <v>44614</v>
      </c>
      <c r="G306" s="482">
        <f t="shared" si="77"/>
        <v>44612</v>
      </c>
      <c r="H306" s="499">
        <v>512.5</v>
      </c>
      <c r="I306" s="500" t="s">
        <v>3822</v>
      </c>
      <c r="J306" s="487">
        <v>2194</v>
      </c>
      <c r="K306" s="403">
        <f t="shared" si="78"/>
        <v>1124425</v>
      </c>
      <c r="L306" s="403">
        <f t="shared" si="93"/>
        <v>1236.8675000000001</v>
      </c>
      <c r="M306" s="403">
        <f t="shared" si="94"/>
        <v>1125661.8674999999</v>
      </c>
      <c r="N306" s="404">
        <f t="shared" si="95"/>
        <v>22513</v>
      </c>
      <c r="O306" s="404">
        <f t="shared" si="96"/>
        <v>180106</v>
      </c>
      <c r="P306" s="404">
        <f t="shared" si="97"/>
        <v>46490</v>
      </c>
      <c r="Q306" s="404">
        <f t="shared" si="98"/>
        <v>249109</v>
      </c>
      <c r="R306" s="410">
        <v>3.85</v>
      </c>
      <c r="S306" s="404">
        <f t="shared" si="92"/>
        <v>959069.65</v>
      </c>
      <c r="T306" s="410" t="s">
        <v>2375</v>
      </c>
    </row>
    <row r="307" spans="1:20" x14ac:dyDescent="0.3">
      <c r="A307" s="515" t="s">
        <v>3745</v>
      </c>
      <c r="B307" s="516" t="s">
        <v>3821</v>
      </c>
      <c r="C307" s="517" t="s">
        <v>2000</v>
      </c>
      <c r="D307" s="518" t="s">
        <v>2727</v>
      </c>
      <c r="E307" s="359" t="s">
        <v>828</v>
      </c>
      <c r="F307" s="486">
        <v>44614</v>
      </c>
      <c r="G307" s="482">
        <f t="shared" si="77"/>
        <v>44612</v>
      </c>
      <c r="H307" s="499">
        <v>162.5</v>
      </c>
      <c r="I307" s="500" t="s">
        <v>3822</v>
      </c>
      <c r="J307" s="487">
        <v>2950</v>
      </c>
      <c r="K307" s="403">
        <f t="shared" si="78"/>
        <v>479375</v>
      </c>
      <c r="L307" s="403">
        <f t="shared" si="93"/>
        <v>527.3125</v>
      </c>
      <c r="M307" s="403">
        <f t="shared" si="94"/>
        <v>479902.3125</v>
      </c>
      <c r="N307" s="404">
        <f t="shared" si="95"/>
        <v>9598</v>
      </c>
      <c r="O307" s="404">
        <f t="shared" si="96"/>
        <v>76784</v>
      </c>
      <c r="P307" s="404">
        <f t="shared" si="97"/>
        <v>19820</v>
      </c>
      <c r="Q307" s="404">
        <f t="shared" si="98"/>
        <v>106202</v>
      </c>
      <c r="R307" s="410">
        <v>3.85</v>
      </c>
      <c r="S307" s="404">
        <f t="shared" si="92"/>
        <v>408877.7</v>
      </c>
      <c r="T307" s="410" t="s">
        <v>2375</v>
      </c>
    </row>
    <row r="308" spans="1:20" x14ac:dyDescent="0.3">
      <c r="A308" s="515" t="s">
        <v>3869</v>
      </c>
      <c r="B308" s="516" t="s">
        <v>3821</v>
      </c>
      <c r="C308" s="517" t="s">
        <v>2000</v>
      </c>
      <c r="D308" s="518" t="s">
        <v>2727</v>
      </c>
      <c r="E308" s="359" t="s">
        <v>828</v>
      </c>
      <c r="F308" s="486">
        <v>44614</v>
      </c>
      <c r="G308" s="482">
        <f t="shared" si="77"/>
        <v>44612</v>
      </c>
      <c r="H308" s="499">
        <v>162.5</v>
      </c>
      <c r="I308" s="500" t="s">
        <v>3822</v>
      </c>
      <c r="J308" s="487">
        <v>2855</v>
      </c>
      <c r="K308" s="403">
        <f t="shared" si="78"/>
        <v>463937.5</v>
      </c>
      <c r="L308" s="403">
        <f t="shared" si="93"/>
        <v>510.33125000000001</v>
      </c>
      <c r="M308" s="403">
        <f t="shared" si="94"/>
        <v>464447.83124999999</v>
      </c>
      <c r="N308" s="404">
        <f t="shared" si="95"/>
        <v>9289</v>
      </c>
      <c r="O308" s="404">
        <f t="shared" si="96"/>
        <v>74312</v>
      </c>
      <c r="P308" s="404">
        <f t="shared" si="97"/>
        <v>19182</v>
      </c>
      <c r="Q308" s="404">
        <f t="shared" si="98"/>
        <v>102783</v>
      </c>
      <c r="R308" s="410">
        <v>3.85</v>
      </c>
      <c r="S308" s="404">
        <f t="shared" si="92"/>
        <v>395714.55</v>
      </c>
      <c r="T308" s="410" t="s">
        <v>2375</v>
      </c>
    </row>
    <row r="309" spans="1:20" ht="15" hidden="1" x14ac:dyDescent="0.25">
      <c r="A309" s="520" t="s">
        <v>3749</v>
      </c>
      <c r="B309" s="521" t="s">
        <v>3821</v>
      </c>
      <c r="C309" s="522" t="s">
        <v>1274</v>
      </c>
      <c r="D309" s="523" t="s">
        <v>3751</v>
      </c>
      <c r="E309" s="494" t="s">
        <v>828</v>
      </c>
      <c r="F309" s="510">
        <v>44603</v>
      </c>
      <c r="G309" s="495">
        <f t="shared" si="77"/>
        <v>44601</v>
      </c>
      <c r="H309" s="512">
        <v>513.6</v>
      </c>
      <c r="I309" s="513" t="s">
        <v>3822</v>
      </c>
      <c r="J309" s="511">
        <v>1030</v>
      </c>
      <c r="K309" s="403">
        <f t="shared" si="78"/>
        <v>529008</v>
      </c>
      <c r="L309" s="403">
        <f t="shared" si="93"/>
        <v>581.90880000000004</v>
      </c>
      <c r="M309" s="403">
        <f t="shared" si="94"/>
        <v>529589.90879999998</v>
      </c>
      <c r="N309" s="404">
        <f t="shared" si="95"/>
        <v>10592</v>
      </c>
      <c r="O309" s="404">
        <f t="shared" si="96"/>
        <v>84734</v>
      </c>
      <c r="P309" s="404">
        <f t="shared" si="97"/>
        <v>21872</v>
      </c>
      <c r="Q309" s="404">
        <f t="shared" si="98"/>
        <v>117198</v>
      </c>
      <c r="R309" s="410">
        <v>3.85</v>
      </c>
      <c r="S309" s="404">
        <f t="shared" si="92"/>
        <v>451212.3</v>
      </c>
      <c r="T309" s="410" t="s">
        <v>256</v>
      </c>
    </row>
    <row r="310" spans="1:20" x14ac:dyDescent="0.3">
      <c r="A310" s="515" t="s">
        <v>3850</v>
      </c>
      <c r="B310" s="516" t="s">
        <v>3821</v>
      </c>
      <c r="C310" s="517" t="s">
        <v>1293</v>
      </c>
      <c r="D310" s="518" t="s">
        <v>280</v>
      </c>
      <c r="E310" s="359" t="s">
        <v>828</v>
      </c>
      <c r="F310" s="486">
        <v>44623</v>
      </c>
      <c r="G310" s="482">
        <f t="shared" si="77"/>
        <v>44621</v>
      </c>
      <c r="H310" s="499">
        <v>400</v>
      </c>
      <c r="I310" s="500" t="s">
        <v>3822</v>
      </c>
      <c r="J310" s="487">
        <v>448</v>
      </c>
      <c r="K310" s="403">
        <f t="shared" si="78"/>
        <v>179200</v>
      </c>
      <c r="L310" s="403">
        <f t="shared" si="93"/>
        <v>197.12</v>
      </c>
      <c r="M310" s="403">
        <f t="shared" si="94"/>
        <v>179397.12</v>
      </c>
      <c r="N310" s="404">
        <f t="shared" si="95"/>
        <v>3588</v>
      </c>
      <c r="O310" s="404">
        <f t="shared" si="96"/>
        <v>28704</v>
      </c>
      <c r="P310" s="404">
        <f t="shared" si="97"/>
        <v>7409</v>
      </c>
      <c r="Q310" s="404">
        <f t="shared" si="98"/>
        <v>39701</v>
      </c>
      <c r="R310" s="410">
        <v>3.85</v>
      </c>
      <c r="S310" s="404">
        <f t="shared" si="92"/>
        <v>152848.85</v>
      </c>
      <c r="T310" s="410" t="s">
        <v>2375</v>
      </c>
    </row>
    <row r="311" spans="1:20" ht="15" hidden="1" x14ac:dyDescent="0.25">
      <c r="A311" s="520" t="s">
        <v>3884</v>
      </c>
      <c r="B311" s="521" t="s">
        <v>3821</v>
      </c>
      <c r="C311" s="520" t="s">
        <v>1999</v>
      </c>
      <c r="D311" s="523" t="s">
        <v>494</v>
      </c>
      <c r="E311" s="494" t="s">
        <v>4014</v>
      </c>
      <c r="F311" s="510">
        <v>44603</v>
      </c>
      <c r="G311" s="495">
        <f t="shared" si="77"/>
        <v>44601</v>
      </c>
      <c r="H311" s="512">
        <v>100</v>
      </c>
      <c r="I311" s="513" t="s">
        <v>3822</v>
      </c>
      <c r="J311" s="511">
        <v>313.91000000000003</v>
      </c>
      <c r="K311" s="403">
        <f t="shared" si="78"/>
        <v>31391.000000000004</v>
      </c>
      <c r="L311" s="403">
        <f t="shared" si="93"/>
        <v>34.530100000000004</v>
      </c>
      <c r="M311" s="403">
        <f t="shared" si="94"/>
        <v>31425.530100000004</v>
      </c>
      <c r="N311" s="404">
        <f t="shared" si="95"/>
        <v>629</v>
      </c>
      <c r="O311" s="404">
        <f t="shared" si="96"/>
        <v>5028</v>
      </c>
      <c r="P311" s="404">
        <f t="shared" si="97"/>
        <v>1298</v>
      </c>
      <c r="Q311" s="404">
        <f t="shared" si="98"/>
        <v>6955</v>
      </c>
      <c r="R311" s="410">
        <v>3.85</v>
      </c>
      <c r="S311" s="404">
        <f t="shared" si="92"/>
        <v>26776.75</v>
      </c>
      <c r="T311" s="410" t="s">
        <v>256</v>
      </c>
    </row>
  </sheetData>
  <autoFilter ref="A1:U311">
    <filterColumn colId="19">
      <filters>
        <filter val="PENDIENTE"/>
      </filters>
    </filterColumn>
  </autoFilter>
  <conditionalFormatting sqref="B294:B297 B299:B302">
    <cfRule type="containsText" dxfId="18" priority="21" operator="containsText" text="REEMPLAZADO">
      <formula>NOT(ISERROR(SEARCH("REEMPLAZADO",B294)))</formula>
    </cfRule>
    <cfRule type="containsText" dxfId="17" priority="22" operator="containsText" text="CANCELADO">
      <formula>NOT(ISERROR(SEARCH("CANCELADO",B294)))</formula>
    </cfRule>
  </conditionalFormatting>
  <conditionalFormatting sqref="B298">
    <cfRule type="containsText" dxfId="16" priority="19" operator="containsText" text="REEMPLAZADO">
      <formula>NOT(ISERROR(SEARCH("REEMPLAZADO",B298)))</formula>
    </cfRule>
    <cfRule type="containsText" dxfId="15" priority="20" operator="containsText" text="CANCELADO">
      <formula>NOT(ISERROR(SEARCH("CANCELADO",B298)))</formula>
    </cfRule>
  </conditionalFormatting>
  <conditionalFormatting sqref="A197:B197">
    <cfRule type="duplicateValues" dxfId="14" priority="2260"/>
  </conditionalFormatting>
  <conditionalFormatting sqref="A312:B1048576 A1:B196">
    <cfRule type="duplicateValues" dxfId="13" priority="2262"/>
  </conditionalFormatting>
  <conditionalFormatting sqref="A198:B222">
    <cfRule type="duplicateValues" dxfId="12" priority="2266"/>
  </conditionalFormatting>
  <conditionalFormatting sqref="A223:B233">
    <cfRule type="duplicateValues" dxfId="11" priority="2268"/>
  </conditionalFormatting>
  <conditionalFormatting sqref="A234:B247">
    <cfRule type="duplicateValues" dxfId="10" priority="2270"/>
  </conditionalFormatting>
  <conditionalFormatting sqref="A248:B258">
    <cfRule type="duplicateValues" dxfId="9" priority="2272"/>
  </conditionalFormatting>
  <conditionalFormatting sqref="A259:B259">
    <cfRule type="duplicateValues" dxfId="8" priority="2274"/>
  </conditionalFormatting>
  <conditionalFormatting sqref="A260:B283">
    <cfRule type="duplicateValues" dxfId="7" priority="2276"/>
  </conditionalFormatting>
  <conditionalFormatting sqref="A210:A293">
    <cfRule type="duplicateValues" dxfId="6" priority="2278"/>
  </conditionalFormatting>
  <conditionalFormatting sqref="A284:A293">
    <cfRule type="duplicateValues" dxfId="5" priority="2279"/>
  </conditionalFormatting>
  <conditionalFormatting sqref="A294:A299">
    <cfRule type="duplicateValues" dxfId="4" priority="2280"/>
    <cfRule type="duplicateValues" dxfId="3" priority="2281"/>
    <cfRule type="duplicateValues" dxfId="2" priority="2282"/>
  </conditionalFormatting>
  <conditionalFormatting sqref="B303:B311">
    <cfRule type="containsText" dxfId="1" priority="3" operator="containsText" text="REEMPLAZADO">
      <formula>NOT(ISERROR(SEARCH("REEMPLAZADO",B303)))</formula>
    </cfRule>
    <cfRule type="containsText" dxfId="0" priority="4" operator="containsText" text="CANCELADO">
      <formula>NOT(ISERROR(SEARCH("CANCELADO",B303)))</formula>
    </cfRule>
  </conditionalFormatting>
  <dataValidations disablePrompts="1" count="2">
    <dataValidation type="list" allowBlank="1" showInputMessage="1" showErrorMessage="1" sqref="C2:C7">
      <formula1>MATERIALES</formula1>
    </dataValidation>
    <dataValidation type="list" allowBlank="1" showInputMessage="1" showErrorMessage="1" sqref="D2:D7">
      <formula1>PROVEEDORES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[5]Hoja1!#REF!</xm:f>
          </x14:formula1>
          <xm:sqref>T2:T149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workbookViewId="0">
      <selection activeCell="G14" sqref="G14"/>
    </sheetView>
  </sheetViews>
  <sheetFormatPr baseColWidth="10" defaultRowHeight="14.4" x14ac:dyDescent="0.3"/>
  <cols>
    <col min="6" max="6" width="12.33203125" bestFit="1" customWidth="1"/>
    <col min="7" max="7" width="17.6640625" bestFit="1" customWidth="1"/>
    <col min="8" max="8" width="13" bestFit="1" customWidth="1"/>
    <col min="9" max="9" width="11.88671875" bestFit="1" customWidth="1"/>
    <col min="10" max="10" width="14.5546875" bestFit="1" customWidth="1"/>
    <col min="12" max="12" width="12.33203125" bestFit="1" customWidth="1"/>
  </cols>
  <sheetData>
    <row r="4" spans="2:12" x14ac:dyDescent="0.3">
      <c r="B4" s="76"/>
      <c r="C4" s="76"/>
      <c r="D4" s="351"/>
      <c r="E4" s="365"/>
      <c r="F4" s="351"/>
      <c r="G4" s="351"/>
      <c r="H4" s="91"/>
      <c r="I4" s="351"/>
      <c r="J4" s="351"/>
      <c r="K4" s="351"/>
    </row>
    <row r="5" spans="2:12" x14ac:dyDescent="0.3">
      <c r="B5" s="76"/>
      <c r="C5" s="76"/>
      <c r="D5" s="351"/>
      <c r="E5" s="526">
        <v>5.5E-2</v>
      </c>
      <c r="F5" s="351"/>
      <c r="G5" s="351"/>
      <c r="H5" s="91"/>
      <c r="I5" s="351"/>
      <c r="J5" s="351"/>
      <c r="K5" s="351"/>
    </row>
    <row r="6" spans="2:12" x14ac:dyDescent="0.3">
      <c r="B6" s="76"/>
      <c r="C6" s="76" t="s">
        <v>826</v>
      </c>
      <c r="D6" s="351" t="s">
        <v>4051</v>
      </c>
      <c r="E6" s="365" t="s">
        <v>4052</v>
      </c>
      <c r="F6" s="365" t="s">
        <v>4053</v>
      </c>
      <c r="G6" s="365" t="s">
        <v>4056</v>
      </c>
      <c r="H6" s="91" t="s">
        <v>4054</v>
      </c>
      <c r="I6" s="365" t="s">
        <v>4055</v>
      </c>
      <c r="J6" s="365" t="s">
        <v>4057</v>
      </c>
      <c r="K6" s="351"/>
    </row>
    <row r="7" spans="2:12" x14ac:dyDescent="0.3">
      <c r="B7" s="76"/>
      <c r="C7" s="76">
        <v>4040</v>
      </c>
      <c r="D7" s="351">
        <v>775</v>
      </c>
      <c r="E7" s="475">
        <v>796.32</v>
      </c>
      <c r="F7" s="475">
        <f>+E7*C7</f>
        <v>3217132.8000000003</v>
      </c>
      <c r="G7" s="475">
        <f>+F7</f>
        <v>3217132.8000000003</v>
      </c>
      <c r="H7" s="525">
        <f>+G7/E7</f>
        <v>4040</v>
      </c>
      <c r="I7" s="476">
        <v>0</v>
      </c>
      <c r="J7" s="475"/>
      <c r="K7" s="351"/>
    </row>
    <row r="8" spans="2:12" x14ac:dyDescent="0.3">
      <c r="B8" s="76"/>
      <c r="C8" s="76">
        <v>1800</v>
      </c>
      <c r="D8" s="351">
        <v>760</v>
      </c>
      <c r="E8" s="475">
        <v>780.9</v>
      </c>
      <c r="F8" s="475">
        <f>+E8*C8</f>
        <v>1405620</v>
      </c>
      <c r="G8" s="475">
        <f>+G9-G7</f>
        <v>282867.19999999972</v>
      </c>
      <c r="H8" s="525">
        <f>+G8/E8</f>
        <v>362.23229606863839</v>
      </c>
      <c r="I8" s="476">
        <f>+C8-H8</f>
        <v>1437.7677039313617</v>
      </c>
      <c r="J8" s="527">
        <f>+I8*D8</f>
        <v>1092703.4549878349</v>
      </c>
      <c r="K8" s="351" t="s">
        <v>4060</v>
      </c>
    </row>
    <row r="9" spans="2:12" x14ac:dyDescent="0.3">
      <c r="B9" s="76"/>
      <c r="C9" s="76"/>
      <c r="D9" s="351"/>
      <c r="E9" s="365"/>
      <c r="F9" s="475">
        <f>SUM(F7:F8)</f>
        <v>4622752.8000000007</v>
      </c>
      <c r="G9" s="475">
        <v>3500000</v>
      </c>
      <c r="H9" s="91"/>
      <c r="I9" s="351"/>
      <c r="K9" s="351"/>
      <c r="L9" s="475">
        <v>1092880</v>
      </c>
    </row>
    <row r="10" spans="2:12" x14ac:dyDescent="0.3">
      <c r="B10" s="76"/>
      <c r="C10" s="76"/>
      <c r="D10" s="351"/>
      <c r="E10" s="365"/>
      <c r="F10" s="475"/>
      <c r="G10" s="475"/>
      <c r="H10" s="91"/>
      <c r="I10" s="528" t="s">
        <v>4059</v>
      </c>
      <c r="J10" s="475">
        <v>1368000</v>
      </c>
      <c r="K10" s="351"/>
      <c r="L10" s="475">
        <f>+L9-J8</f>
        <v>176.54501216509379</v>
      </c>
    </row>
    <row r="11" spans="2:12" x14ac:dyDescent="0.3">
      <c r="B11" s="76"/>
      <c r="C11" s="76"/>
      <c r="D11" s="351"/>
      <c r="E11" s="365"/>
      <c r="F11" s="475"/>
      <c r="G11" s="475"/>
      <c r="H11" s="91"/>
      <c r="I11" s="351" t="s">
        <v>4058</v>
      </c>
      <c r="J11" s="475">
        <f>+J10-J8</f>
        <v>275296.54501216509</v>
      </c>
      <c r="K11" s="351"/>
    </row>
    <row r="12" spans="2:12" x14ac:dyDescent="0.3">
      <c r="B12" s="76"/>
      <c r="C12" s="76"/>
      <c r="D12" s="351"/>
      <c r="E12" s="365"/>
      <c r="F12" s="524"/>
      <c r="G12" s="475"/>
      <c r="H12" s="91"/>
      <c r="I12" s="351"/>
      <c r="J12" s="351"/>
      <c r="K12" s="351"/>
    </row>
    <row r="13" spans="2:12" x14ac:dyDescent="0.3">
      <c r="B13" s="76"/>
      <c r="C13" s="76"/>
      <c r="D13" s="351"/>
      <c r="E13" s="365"/>
      <c r="F13" s="351"/>
      <c r="G13" s="351"/>
      <c r="H13" s="91"/>
      <c r="I13" s="351"/>
      <c r="J13" s="351"/>
      <c r="K13" s="351"/>
    </row>
    <row r="14" spans="2:12" x14ac:dyDescent="0.3">
      <c r="B14" s="76"/>
      <c r="C14" s="76"/>
      <c r="D14" s="351"/>
      <c r="E14" s="365"/>
      <c r="F14" s="351"/>
      <c r="G14" s="351"/>
      <c r="H14" s="91"/>
      <c r="I14" s="351"/>
      <c r="J14" s="351"/>
      <c r="K14" s="351"/>
    </row>
    <row r="15" spans="2:12" x14ac:dyDescent="0.3">
      <c r="B15" s="76"/>
      <c r="C15" s="76"/>
      <c r="D15" s="351"/>
      <c r="E15" s="365"/>
      <c r="F15" s="351"/>
      <c r="G15" s="351"/>
      <c r="H15" s="91"/>
      <c r="I15" s="351"/>
      <c r="J15" s="351"/>
      <c r="K15" s="351"/>
    </row>
    <row r="16" spans="2:12" x14ac:dyDescent="0.3">
      <c r="C16" s="76"/>
      <c r="D16" s="351"/>
      <c r="E16" s="526">
        <v>5.5E-2</v>
      </c>
      <c r="F16" s="351"/>
      <c r="G16" s="351"/>
      <c r="H16" s="91"/>
      <c r="I16" s="351"/>
      <c r="J16" s="351"/>
      <c r="K16" s="351"/>
      <c r="L16" s="351"/>
    </row>
    <row r="17" spans="3:12" x14ac:dyDescent="0.3">
      <c r="C17" s="76" t="s">
        <v>826</v>
      </c>
      <c r="D17" s="351" t="s">
        <v>4051</v>
      </c>
      <c r="E17" s="365" t="s">
        <v>4052</v>
      </c>
      <c r="F17" s="365" t="s">
        <v>4053</v>
      </c>
      <c r="G17" s="365" t="s">
        <v>4056</v>
      </c>
      <c r="H17" s="91" t="s">
        <v>4054</v>
      </c>
      <c r="I17" s="365" t="s">
        <v>4055</v>
      </c>
      <c r="J17" s="365" t="s">
        <v>4057</v>
      </c>
      <c r="K17" s="351"/>
      <c r="L17" s="351"/>
    </row>
    <row r="18" spans="3:12" x14ac:dyDescent="0.3">
      <c r="C18" s="76">
        <v>4040</v>
      </c>
      <c r="D18" s="351">
        <v>775</v>
      </c>
      <c r="E18" s="475">
        <v>796.32</v>
      </c>
      <c r="F18" s="475">
        <f>+E18*C18</f>
        <v>3217132.8000000003</v>
      </c>
      <c r="G18" s="475">
        <f>+F18</f>
        <v>3217132.8000000003</v>
      </c>
      <c r="H18" s="525">
        <f>+G18/E18</f>
        <v>4040</v>
      </c>
      <c r="I18" s="476">
        <v>0</v>
      </c>
      <c r="J18" s="475"/>
      <c r="K18" s="351"/>
      <c r="L18" s="351"/>
    </row>
    <row r="19" spans="3:12" x14ac:dyDescent="0.3">
      <c r="C19" s="76">
        <v>1800</v>
      </c>
      <c r="D19" s="351">
        <v>760</v>
      </c>
      <c r="E19" s="475">
        <v>780.9</v>
      </c>
      <c r="F19" s="475">
        <f>+E19*C19</f>
        <v>1405620</v>
      </c>
      <c r="G19" s="475"/>
      <c r="H19" s="525"/>
      <c r="I19" s="476">
        <f>+J19/D19</f>
        <v>1800</v>
      </c>
      <c r="J19" s="527">
        <v>1368000</v>
      </c>
      <c r="K19" s="351"/>
      <c r="L19" s="351"/>
    </row>
    <row r="20" spans="3:12" x14ac:dyDescent="0.3">
      <c r="C20" s="76"/>
      <c r="D20" s="351"/>
      <c r="E20" s="365"/>
      <c r="F20" s="475">
        <f>SUM(F18:F19)</f>
        <v>4622752.8000000007</v>
      </c>
      <c r="G20" s="475">
        <f>+G19+G18</f>
        <v>3217132.8000000003</v>
      </c>
      <c r="H20" s="91"/>
      <c r="I20" s="351"/>
      <c r="J20" s="351"/>
      <c r="K20" s="351"/>
      <c r="L20" s="475">
        <v>1092880</v>
      </c>
    </row>
    <row r="21" spans="3:12" x14ac:dyDescent="0.3">
      <c r="C21" s="76"/>
      <c r="D21" s="351"/>
      <c r="E21" s="365"/>
      <c r="F21" s="475"/>
      <c r="G21" s="475" t="s">
        <v>4061</v>
      </c>
      <c r="H21" s="91"/>
      <c r="I21" s="528" t="s">
        <v>4059</v>
      </c>
      <c r="J21" s="475">
        <v>1368000</v>
      </c>
      <c r="K21" s="351"/>
      <c r="L21" s="475">
        <f>+L20-J19</f>
        <v>-275120</v>
      </c>
    </row>
    <row r="22" spans="3:12" x14ac:dyDescent="0.3">
      <c r="C22" s="76"/>
      <c r="D22" s="351"/>
      <c r="E22" s="365"/>
      <c r="F22" s="475"/>
      <c r="G22" s="475"/>
      <c r="H22" s="91"/>
      <c r="I22" s="351" t="s">
        <v>4058</v>
      </c>
      <c r="J22" s="475">
        <f>+J21-J19</f>
        <v>0</v>
      </c>
      <c r="K22" s="351"/>
      <c r="L22" s="35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GridLines="0" workbookViewId="0">
      <pane ySplit="1" topLeftCell="A35" activePane="bottomLeft" state="frozen"/>
      <selection activeCell="A66" sqref="A66:XFD66"/>
      <selection pane="bottomLeft" activeCell="A54" sqref="A54:XFD64"/>
    </sheetView>
  </sheetViews>
  <sheetFormatPr baseColWidth="10" defaultColWidth="11.44140625" defaultRowHeight="14.4" x14ac:dyDescent="0.3"/>
  <cols>
    <col min="1" max="1" width="12.5546875" style="10" bestFit="1" customWidth="1"/>
    <col min="2" max="2" width="23.44140625" style="10" customWidth="1"/>
    <col min="3" max="3" width="24" style="10" customWidth="1"/>
    <col min="4" max="4" width="11.44140625" style="10"/>
    <col min="5" max="5" width="4.44140625" style="10" bestFit="1" customWidth="1"/>
    <col min="6" max="6" width="6.44140625" style="10" bestFit="1" customWidth="1"/>
    <col min="7" max="10" width="11.44140625" style="10"/>
    <col min="11" max="11" width="11.44140625" style="10" customWidth="1"/>
    <col min="12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x14ac:dyDescent="0.3">
      <c r="A2" s="48" t="s">
        <v>135</v>
      </c>
      <c r="B2" s="1" t="s">
        <v>6</v>
      </c>
      <c r="C2" s="3" t="s">
        <v>7</v>
      </c>
      <c r="D2" s="64" t="s">
        <v>151</v>
      </c>
      <c r="E2" s="62">
        <v>90</v>
      </c>
      <c r="F2" s="63" t="s">
        <v>20</v>
      </c>
      <c r="G2" s="7">
        <v>42969</v>
      </c>
      <c r="H2" s="9">
        <v>100</v>
      </c>
      <c r="I2" s="8">
        <v>500</v>
      </c>
      <c r="J2" s="8">
        <v>50000</v>
      </c>
      <c r="K2" s="53">
        <v>42879</v>
      </c>
      <c r="L2" s="68" t="s">
        <v>256</v>
      </c>
      <c r="M2" s="43"/>
      <c r="N2" s="43"/>
      <c r="O2" s="43"/>
    </row>
    <row r="3" spans="1:16" ht="18.75" x14ac:dyDescent="0.3">
      <c r="A3" s="531" t="s">
        <v>91</v>
      </c>
      <c r="B3" s="532"/>
      <c r="C3" s="13"/>
      <c r="D3" s="13"/>
      <c r="E3" s="13"/>
      <c r="F3" s="13"/>
      <c r="G3" s="13"/>
      <c r="H3" s="13"/>
      <c r="I3" s="13"/>
      <c r="J3" s="13"/>
      <c r="K3" s="14"/>
    </row>
    <row r="4" spans="1:16" x14ac:dyDescent="0.3">
      <c r="A4" s="15"/>
      <c r="B4" s="17" t="s">
        <v>76</v>
      </c>
      <c r="C4" s="37" t="s">
        <v>92</v>
      </c>
      <c r="D4" s="37"/>
      <c r="E4" s="37"/>
      <c r="F4" s="37"/>
      <c r="G4" s="37"/>
      <c r="H4" s="18"/>
      <c r="I4" s="18"/>
      <c r="J4" s="18"/>
      <c r="K4" s="19"/>
    </row>
    <row r="5" spans="1:16" x14ac:dyDescent="0.3">
      <c r="A5" s="15"/>
      <c r="B5" s="17" t="s">
        <v>78</v>
      </c>
      <c r="C5" s="37" t="s">
        <v>94</v>
      </c>
      <c r="D5" s="37"/>
      <c r="E5" s="37"/>
      <c r="F5" s="37"/>
      <c r="G5" s="37"/>
      <c r="H5" s="18"/>
      <c r="I5" s="18"/>
      <c r="J5" s="18"/>
      <c r="K5" s="19"/>
    </row>
    <row r="6" spans="1:16" x14ac:dyDescent="0.3">
      <c r="A6" s="15"/>
      <c r="B6" s="17" t="s">
        <v>81</v>
      </c>
      <c r="C6" s="17">
        <v>1071321</v>
      </c>
      <c r="D6" s="37"/>
      <c r="E6" s="37"/>
      <c r="F6" s="37"/>
      <c r="G6" s="37"/>
      <c r="H6" s="18"/>
      <c r="I6" s="18"/>
      <c r="J6" s="18"/>
      <c r="K6" s="19"/>
    </row>
    <row r="7" spans="1:16" x14ac:dyDescent="0.3">
      <c r="A7" s="15"/>
      <c r="B7" s="17" t="s">
        <v>98</v>
      </c>
      <c r="C7" s="37" t="s">
        <v>97</v>
      </c>
      <c r="D7" s="37"/>
      <c r="E7" s="37"/>
      <c r="F7" s="37"/>
      <c r="G7" s="37"/>
      <c r="H7" s="18"/>
      <c r="I7" s="18"/>
      <c r="J7" s="18"/>
      <c r="K7" s="19"/>
    </row>
    <row r="8" spans="1:16" x14ac:dyDescent="0.3">
      <c r="A8" s="15"/>
      <c r="B8" s="17" t="s">
        <v>83</v>
      </c>
      <c r="C8" s="37" t="s">
        <v>109</v>
      </c>
      <c r="D8" s="37"/>
      <c r="E8" s="37"/>
      <c r="F8" s="37"/>
      <c r="G8" s="37"/>
      <c r="H8" s="18"/>
      <c r="I8" s="18"/>
      <c r="J8" s="18"/>
      <c r="K8" s="19"/>
    </row>
    <row r="9" spans="1:16" x14ac:dyDescent="0.3">
      <c r="A9" s="15"/>
      <c r="B9" s="17" t="s">
        <v>84</v>
      </c>
      <c r="C9" s="37" t="s">
        <v>96</v>
      </c>
      <c r="D9" s="37"/>
      <c r="E9" s="37"/>
      <c r="F9" s="37"/>
      <c r="G9" s="37"/>
      <c r="H9" s="18"/>
      <c r="I9" s="18"/>
      <c r="J9" s="18"/>
      <c r="K9" s="19"/>
    </row>
    <row r="10" spans="1:16" x14ac:dyDescent="0.3">
      <c r="A10" s="15"/>
      <c r="B10" s="17" t="s">
        <v>85</v>
      </c>
      <c r="C10" s="37" t="s">
        <v>95</v>
      </c>
      <c r="D10" s="37"/>
      <c r="E10" s="37"/>
      <c r="F10" s="37"/>
      <c r="G10" s="37"/>
      <c r="H10" s="18"/>
      <c r="I10" s="18"/>
      <c r="J10" s="18"/>
      <c r="K10" s="19"/>
    </row>
    <row r="11" spans="1:16" ht="15" x14ac:dyDescent="0.25">
      <c r="A11" s="15"/>
      <c r="B11" s="35" t="s">
        <v>99</v>
      </c>
      <c r="C11" s="35" t="s">
        <v>100</v>
      </c>
      <c r="D11" s="37"/>
      <c r="E11" s="37"/>
      <c r="F11" s="37"/>
      <c r="G11" s="37"/>
      <c r="H11" s="18"/>
      <c r="I11" s="18"/>
      <c r="J11" s="18"/>
      <c r="K11" s="19"/>
    </row>
    <row r="12" spans="1:16" ht="15" x14ac:dyDescent="0.25">
      <c r="A12" s="15"/>
      <c r="B12" s="35" t="s">
        <v>93</v>
      </c>
      <c r="C12" s="35" t="s">
        <v>101</v>
      </c>
      <c r="D12" s="37"/>
      <c r="E12" s="37"/>
      <c r="F12" s="37"/>
      <c r="G12" s="37"/>
      <c r="H12" s="18"/>
      <c r="I12" s="18"/>
      <c r="J12" s="18"/>
      <c r="K12" s="19"/>
    </row>
    <row r="13" spans="1:16" ht="15" x14ac:dyDescent="0.25">
      <c r="A13" s="5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6" ht="7.5" customHeight="1" x14ac:dyDescent="0.25">
      <c r="A14" s="47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6" ht="15" customHeight="1" x14ac:dyDescent="0.3">
      <c r="A15" s="66" t="s">
        <v>162</v>
      </c>
      <c r="B15" s="1" t="s">
        <v>9</v>
      </c>
      <c r="C15" s="3" t="s">
        <v>41</v>
      </c>
      <c r="D15" s="70" t="s">
        <v>129</v>
      </c>
      <c r="E15" s="54">
        <v>150</v>
      </c>
      <c r="F15" s="52" t="s">
        <v>20</v>
      </c>
      <c r="G15" s="7">
        <v>42979</v>
      </c>
      <c r="H15" s="9">
        <v>125</v>
      </c>
      <c r="I15" s="8">
        <v>829</v>
      </c>
      <c r="J15" s="8">
        <f>+H15*I15</f>
        <v>103625</v>
      </c>
      <c r="K15" s="53">
        <v>42836</v>
      </c>
    </row>
    <row r="16" spans="1:16" x14ac:dyDescent="0.3">
      <c r="A16" s="66" t="s">
        <v>163</v>
      </c>
      <c r="B16" s="1" t="s">
        <v>9</v>
      </c>
      <c r="C16" s="3" t="s">
        <v>41</v>
      </c>
      <c r="D16" s="70" t="s">
        <v>130</v>
      </c>
      <c r="E16" s="67">
        <v>150</v>
      </c>
      <c r="F16" s="4" t="s">
        <v>20</v>
      </c>
      <c r="G16" s="7">
        <v>42972</v>
      </c>
      <c r="H16" s="9">
        <v>75</v>
      </c>
      <c r="I16" s="8">
        <v>870</v>
      </c>
      <c r="J16" s="8">
        <v>65250</v>
      </c>
      <c r="K16" s="53">
        <v>42824</v>
      </c>
      <c r="L16" s="68" t="s">
        <v>256</v>
      </c>
    </row>
    <row r="17" spans="1:13" x14ac:dyDescent="0.3">
      <c r="A17" s="66" t="s">
        <v>164</v>
      </c>
      <c r="B17" s="1" t="s">
        <v>9</v>
      </c>
      <c r="C17" s="3" t="s">
        <v>41</v>
      </c>
      <c r="D17" s="70" t="s">
        <v>131</v>
      </c>
      <c r="E17" s="67">
        <v>150</v>
      </c>
      <c r="F17" s="4" t="s">
        <v>20</v>
      </c>
      <c r="G17" s="7">
        <v>42972</v>
      </c>
      <c r="H17" s="9">
        <v>50</v>
      </c>
      <c r="I17" s="8">
        <v>870</v>
      </c>
      <c r="J17" s="8">
        <v>43500</v>
      </c>
      <c r="K17" s="53">
        <v>42822</v>
      </c>
      <c r="L17" s="68" t="s">
        <v>256</v>
      </c>
    </row>
    <row r="18" spans="1:13" ht="18.75" x14ac:dyDescent="0.3">
      <c r="A18" s="531" t="s">
        <v>91</v>
      </c>
      <c r="B18" s="532"/>
      <c r="C18" s="13"/>
      <c r="D18" s="13"/>
      <c r="E18" s="13"/>
      <c r="F18" s="13"/>
      <c r="G18" s="13"/>
      <c r="H18" s="13"/>
      <c r="I18" s="13"/>
      <c r="J18" s="13"/>
      <c r="K18" s="14"/>
    </row>
    <row r="19" spans="1:13" x14ac:dyDescent="0.3">
      <c r="A19" s="49"/>
      <c r="B19" s="17" t="s">
        <v>76</v>
      </c>
      <c r="C19" s="37" t="s">
        <v>41</v>
      </c>
      <c r="D19" s="37"/>
      <c r="E19" s="37"/>
      <c r="F19" s="37"/>
      <c r="G19" s="37"/>
      <c r="H19" s="18"/>
      <c r="I19" s="18"/>
      <c r="J19" s="18"/>
      <c r="K19" s="19"/>
      <c r="M19" s="59" t="str">
        <f>+UPPER(H19)</f>
        <v/>
      </c>
    </row>
    <row r="20" spans="1:13" x14ac:dyDescent="0.3">
      <c r="A20" s="49"/>
      <c r="B20" s="17" t="s">
        <v>78</v>
      </c>
      <c r="C20" s="37" t="s">
        <v>254</v>
      </c>
      <c r="D20" s="37"/>
      <c r="E20" s="37"/>
      <c r="F20" s="37"/>
      <c r="G20" s="37"/>
      <c r="H20" s="18"/>
      <c r="I20" s="59"/>
      <c r="J20" s="18"/>
      <c r="K20" s="19"/>
    </row>
    <row r="21" spans="1:13" x14ac:dyDescent="0.3">
      <c r="A21" s="49"/>
      <c r="B21" s="17" t="s">
        <v>81</v>
      </c>
      <c r="C21" s="17">
        <v>453514</v>
      </c>
      <c r="D21" s="37"/>
      <c r="E21" s="37"/>
      <c r="F21" s="37"/>
      <c r="G21" s="37"/>
      <c r="H21" s="18"/>
      <c r="I21" s="59"/>
      <c r="J21" s="18"/>
      <c r="K21" s="19"/>
    </row>
    <row r="22" spans="1:13" x14ac:dyDescent="0.3">
      <c r="A22" s="49"/>
      <c r="B22" s="56" t="s">
        <v>98</v>
      </c>
      <c r="C22" s="45" t="s">
        <v>251</v>
      </c>
      <c r="D22" s="37"/>
      <c r="E22" s="37"/>
      <c r="F22" s="37"/>
      <c r="G22" s="37"/>
      <c r="H22" s="18"/>
      <c r="I22" s="18"/>
      <c r="J22" s="18"/>
      <c r="K22" s="19"/>
    </row>
    <row r="23" spans="1:13" x14ac:dyDescent="0.3">
      <c r="A23" s="49"/>
      <c r="B23" s="17" t="s">
        <v>83</v>
      </c>
      <c r="C23" s="45" t="s">
        <v>252</v>
      </c>
      <c r="D23" s="37"/>
      <c r="E23" s="37"/>
      <c r="F23" s="37"/>
      <c r="G23" s="37"/>
      <c r="H23" s="18"/>
      <c r="I23" s="18"/>
      <c r="J23" s="18"/>
      <c r="K23" s="19"/>
    </row>
    <row r="24" spans="1:13" x14ac:dyDescent="0.3">
      <c r="A24" s="49"/>
      <c r="B24" s="17" t="s">
        <v>85</v>
      </c>
      <c r="C24" s="45" t="s">
        <v>253</v>
      </c>
      <c r="D24" s="37"/>
      <c r="E24" s="37"/>
      <c r="F24" s="37"/>
      <c r="G24" s="37"/>
      <c r="H24" s="18"/>
      <c r="I24" s="18"/>
      <c r="J24" s="18"/>
      <c r="K24" s="19"/>
    </row>
    <row r="25" spans="1:13" ht="15" x14ac:dyDescent="0.25">
      <c r="A25" s="5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3" ht="7.5" customHeight="1" x14ac:dyDescent="0.25">
      <c r="A26" s="47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3" x14ac:dyDescent="0.3">
      <c r="A27" s="48" t="s">
        <v>72</v>
      </c>
      <c r="B27" s="1" t="s">
        <v>14</v>
      </c>
      <c r="C27" s="3" t="s">
        <v>7</v>
      </c>
      <c r="D27" s="41" t="s">
        <v>248</v>
      </c>
      <c r="E27" s="5" t="s">
        <v>5</v>
      </c>
      <c r="F27" s="6"/>
      <c r="G27" s="7">
        <v>42972</v>
      </c>
      <c r="H27" s="9">
        <v>333.45</v>
      </c>
      <c r="I27" s="8">
        <v>840</v>
      </c>
      <c r="J27" s="8">
        <f>+I27*H27</f>
        <v>280098</v>
      </c>
      <c r="K27" s="53"/>
      <c r="L27" s="68" t="s">
        <v>256</v>
      </c>
    </row>
    <row r="28" spans="1:13" ht="18.75" x14ac:dyDescent="0.3">
      <c r="A28" s="531" t="s">
        <v>91</v>
      </c>
      <c r="B28" s="532"/>
      <c r="C28" s="13"/>
      <c r="D28" s="13"/>
      <c r="E28" s="13"/>
      <c r="F28" s="13"/>
      <c r="G28" s="13"/>
      <c r="H28" s="13"/>
      <c r="I28" s="13"/>
      <c r="J28" s="13"/>
      <c r="K28" s="14"/>
      <c r="L28" s="65"/>
    </row>
    <row r="29" spans="1:13" x14ac:dyDescent="0.3">
      <c r="A29" s="49"/>
      <c r="B29" s="17" t="s">
        <v>76</v>
      </c>
      <c r="C29" s="37" t="s">
        <v>92</v>
      </c>
      <c r="D29" s="37"/>
      <c r="E29" s="37"/>
      <c r="F29" s="37"/>
      <c r="G29" s="37"/>
      <c r="H29" s="18"/>
      <c r="I29" s="18"/>
      <c r="J29" s="18"/>
      <c r="K29" s="19"/>
      <c r="M29" s="59" t="str">
        <f>+UPPER(H29)</f>
        <v/>
      </c>
    </row>
    <row r="30" spans="1:13" x14ac:dyDescent="0.3">
      <c r="A30" s="49"/>
      <c r="B30" s="17" t="s">
        <v>78</v>
      </c>
      <c r="C30" s="37" t="s">
        <v>94</v>
      </c>
      <c r="D30" s="37"/>
      <c r="E30" s="37"/>
      <c r="F30" s="37"/>
      <c r="G30" s="37"/>
      <c r="H30" s="18"/>
      <c r="I30" s="59"/>
      <c r="J30" s="18"/>
      <c r="K30" s="19"/>
    </row>
    <row r="31" spans="1:13" x14ac:dyDescent="0.3">
      <c r="A31" s="49"/>
      <c r="B31" s="56" t="s">
        <v>98</v>
      </c>
      <c r="C31" s="17" t="s">
        <v>175</v>
      </c>
      <c r="D31" s="37"/>
      <c r="E31" s="37"/>
      <c r="F31" s="37"/>
      <c r="G31" s="37"/>
      <c r="H31" s="18"/>
      <c r="I31" s="18"/>
      <c r="J31" s="18"/>
      <c r="K31" s="19"/>
    </row>
    <row r="32" spans="1:13" x14ac:dyDescent="0.3">
      <c r="A32" s="49"/>
      <c r="B32" s="17" t="s">
        <v>83</v>
      </c>
      <c r="C32" s="45" t="s">
        <v>176</v>
      </c>
      <c r="D32" s="37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17" t="s">
        <v>81</v>
      </c>
      <c r="C33" s="45">
        <v>163838186</v>
      </c>
      <c r="D33" s="37"/>
      <c r="E33" s="37"/>
      <c r="F33" s="37"/>
      <c r="G33" s="37"/>
      <c r="H33" s="18"/>
      <c r="I33" s="18"/>
      <c r="J33" s="18"/>
      <c r="K33" s="19"/>
    </row>
    <row r="34" spans="1:12" ht="15" x14ac:dyDescent="0.25">
      <c r="A34" s="49"/>
      <c r="B34" s="17" t="s">
        <v>169</v>
      </c>
      <c r="C34" s="45" t="s">
        <v>177</v>
      </c>
      <c r="D34" s="37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85</v>
      </c>
      <c r="C35" s="45" t="s">
        <v>115</v>
      </c>
      <c r="D35" s="37"/>
      <c r="E35" s="37"/>
      <c r="F35" s="37"/>
      <c r="G35" s="37"/>
      <c r="H35" s="18"/>
      <c r="I35" s="18"/>
      <c r="J35" s="18"/>
      <c r="K35" s="19"/>
    </row>
    <row r="36" spans="1:12" x14ac:dyDescent="0.3">
      <c r="A36" s="49"/>
      <c r="B36" s="56" t="s">
        <v>165</v>
      </c>
      <c r="C36" s="45" t="s">
        <v>178</v>
      </c>
      <c r="D36" s="37"/>
      <c r="E36" s="37"/>
      <c r="F36" s="37"/>
      <c r="G36" s="37"/>
      <c r="H36" s="18"/>
      <c r="I36" s="18"/>
      <c r="J36" s="18"/>
      <c r="K36" s="19"/>
    </row>
    <row r="37" spans="1:12" ht="15" x14ac:dyDescent="0.25">
      <c r="A37" s="49"/>
      <c r="B37" s="17" t="s">
        <v>121</v>
      </c>
      <c r="C37" s="57" t="s">
        <v>179</v>
      </c>
      <c r="D37" s="37"/>
      <c r="E37" s="37"/>
      <c r="F37" s="37"/>
      <c r="G37" s="37"/>
      <c r="H37" s="18"/>
      <c r="I37" s="18"/>
      <c r="J37" s="18"/>
      <c r="K37" s="19"/>
    </row>
    <row r="38" spans="1:12" x14ac:dyDescent="0.3">
      <c r="A38" s="49"/>
      <c r="B38" s="17" t="s">
        <v>85</v>
      </c>
      <c r="C38" s="45" t="s">
        <v>120</v>
      </c>
      <c r="D38" s="37"/>
      <c r="E38" s="37"/>
      <c r="F38" s="37"/>
      <c r="G38" s="37"/>
      <c r="H38" s="18"/>
      <c r="I38" s="18"/>
      <c r="J38" s="18" t="s">
        <v>249</v>
      </c>
      <c r="K38" s="19"/>
    </row>
    <row r="39" spans="1:12" ht="15" x14ac:dyDescent="0.25">
      <c r="A39" s="50"/>
      <c r="B39" s="21"/>
      <c r="C39" s="21"/>
      <c r="D39" s="21"/>
      <c r="E39" s="21"/>
      <c r="F39" s="21"/>
      <c r="G39" s="21"/>
      <c r="H39" s="22"/>
      <c r="I39" s="22"/>
      <c r="J39" s="22"/>
      <c r="K39" s="23"/>
    </row>
    <row r="40" spans="1:12" ht="7.5" customHeight="1" x14ac:dyDescent="0.25">
      <c r="A40" s="47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2" x14ac:dyDescent="0.3">
      <c r="A41" s="66" t="s">
        <v>144</v>
      </c>
      <c r="B41" s="1" t="s">
        <v>43</v>
      </c>
      <c r="C41" s="3" t="s">
        <v>42</v>
      </c>
      <c r="D41" s="3">
        <v>300000959</v>
      </c>
      <c r="E41" s="67">
        <v>90</v>
      </c>
      <c r="F41" s="4" t="s">
        <v>20</v>
      </c>
      <c r="G41" s="7">
        <v>42979</v>
      </c>
      <c r="H41" s="9">
        <v>111.28</v>
      </c>
      <c r="I41" s="8">
        <v>280</v>
      </c>
      <c r="J41" s="8">
        <v>31158.400000000001</v>
      </c>
      <c r="K41" s="53">
        <v>42887</v>
      </c>
      <c r="L41" s="42"/>
    </row>
    <row r="42" spans="1:12" x14ac:dyDescent="0.3">
      <c r="A42" s="66" t="s">
        <v>145</v>
      </c>
      <c r="B42" s="1" t="s">
        <v>43</v>
      </c>
      <c r="C42" s="3" t="s">
        <v>42</v>
      </c>
      <c r="D42" s="3" t="s">
        <v>153</v>
      </c>
      <c r="E42" s="67">
        <v>90</v>
      </c>
      <c r="F42" s="4" t="s">
        <v>20</v>
      </c>
      <c r="G42" s="7">
        <v>42979</v>
      </c>
      <c r="H42" s="9">
        <v>55.94</v>
      </c>
      <c r="I42" s="8">
        <v>280</v>
      </c>
      <c r="J42" s="8">
        <v>15663.199999999999</v>
      </c>
      <c r="K42" s="53">
        <v>42887</v>
      </c>
      <c r="L42" s="37"/>
    </row>
    <row r="43" spans="1:12" ht="18.75" x14ac:dyDescent="0.3">
      <c r="A43" s="531" t="s">
        <v>91</v>
      </c>
      <c r="B43" s="532"/>
      <c r="C43" s="13"/>
      <c r="D43" s="13"/>
      <c r="E43" s="13"/>
      <c r="F43" s="13"/>
      <c r="G43" s="13"/>
      <c r="H43" s="13"/>
      <c r="I43" s="13"/>
      <c r="J43" s="13"/>
      <c r="K43" s="14"/>
    </row>
    <row r="44" spans="1:12" ht="13.35" customHeight="1" x14ac:dyDescent="0.3">
      <c r="A44" s="49"/>
      <c r="B44" s="17" t="s">
        <v>76</v>
      </c>
      <c r="C44" s="37" t="s">
        <v>42</v>
      </c>
      <c r="D44" s="37"/>
      <c r="E44" s="37"/>
      <c r="F44" s="37"/>
      <c r="G44" s="37"/>
      <c r="H44" s="18"/>
      <c r="I44" s="18"/>
      <c r="J44" s="18"/>
      <c r="K44" s="19"/>
    </row>
    <row r="45" spans="1:12" ht="13.35" customHeight="1" x14ac:dyDescent="0.3">
      <c r="A45" s="49"/>
      <c r="B45" s="17" t="s">
        <v>78</v>
      </c>
      <c r="C45" s="37" t="s">
        <v>119</v>
      </c>
      <c r="D45" s="37"/>
      <c r="E45" s="37"/>
      <c r="F45" s="37"/>
      <c r="G45" s="37"/>
      <c r="H45" s="37"/>
      <c r="I45" s="18"/>
      <c r="J45" s="18"/>
      <c r="K45" s="19"/>
    </row>
    <row r="46" spans="1:12" ht="13.35" customHeight="1" x14ac:dyDescent="0.3">
      <c r="A46" s="49"/>
      <c r="B46" s="17" t="s">
        <v>81</v>
      </c>
      <c r="C46" s="37" t="s">
        <v>117</v>
      </c>
      <c r="D46" s="37"/>
      <c r="E46" s="37"/>
      <c r="F46" s="37"/>
      <c r="G46" s="37"/>
      <c r="H46" s="18"/>
      <c r="I46" s="18"/>
      <c r="J46" s="18"/>
      <c r="K46" s="19"/>
    </row>
    <row r="47" spans="1:12" ht="13.35" customHeight="1" x14ac:dyDescent="0.3">
      <c r="A47" s="49"/>
      <c r="B47" s="17" t="s">
        <v>98</v>
      </c>
      <c r="C47" s="44" t="s">
        <v>118</v>
      </c>
      <c r="D47" s="37"/>
      <c r="E47" s="37"/>
      <c r="F47" s="37"/>
      <c r="G47" s="37"/>
      <c r="H47" s="18"/>
      <c r="I47" s="18"/>
      <c r="J47" s="18"/>
      <c r="K47" s="19"/>
    </row>
    <row r="48" spans="1:12" ht="13.35" customHeight="1" x14ac:dyDescent="0.3">
      <c r="A48" s="49"/>
      <c r="B48" s="17" t="s">
        <v>83</v>
      </c>
      <c r="C48" s="37" t="s">
        <v>116</v>
      </c>
      <c r="D48" s="37"/>
      <c r="E48" s="37"/>
      <c r="F48" s="37"/>
      <c r="G48" s="37"/>
      <c r="H48" s="18"/>
      <c r="I48" s="18"/>
      <c r="J48" s="18"/>
      <c r="K48" s="19"/>
    </row>
    <row r="49" spans="1:12" ht="13.35" customHeight="1" x14ac:dyDescent="0.3">
      <c r="A49" s="49"/>
      <c r="B49" s="17" t="s">
        <v>84</v>
      </c>
      <c r="C49" s="37" t="s">
        <v>114</v>
      </c>
      <c r="D49" s="37"/>
      <c r="E49" s="37"/>
      <c r="F49" s="37"/>
      <c r="G49" s="37"/>
      <c r="H49" s="18"/>
      <c r="I49" s="18"/>
      <c r="J49" s="18"/>
      <c r="K49" s="19"/>
    </row>
    <row r="50" spans="1:12" ht="13.35" customHeight="1" x14ac:dyDescent="0.3">
      <c r="A50" s="49"/>
      <c r="B50" s="17" t="s">
        <v>85</v>
      </c>
      <c r="C50" s="37" t="s">
        <v>115</v>
      </c>
      <c r="D50" s="37"/>
      <c r="E50" s="37"/>
      <c r="F50" s="37"/>
      <c r="G50" s="37"/>
      <c r="H50" s="18"/>
      <c r="I50" s="18"/>
      <c r="J50" s="18"/>
      <c r="K50" s="19"/>
    </row>
    <row r="51" spans="1:12" ht="13.35" customHeight="1" x14ac:dyDescent="0.25">
      <c r="A51" s="50"/>
      <c r="B51" s="21"/>
      <c r="C51" s="21"/>
      <c r="D51" s="21"/>
      <c r="E51" s="21"/>
      <c r="F51" s="21"/>
      <c r="G51" s="21"/>
      <c r="H51" s="22"/>
      <c r="I51" s="22"/>
      <c r="J51" s="22"/>
      <c r="K51" s="23"/>
    </row>
    <row r="52" spans="1:12" ht="7.5" customHeight="1" x14ac:dyDescent="0.25">
      <c r="A52" s="47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2" x14ac:dyDescent="0.3">
      <c r="A53" s="48" t="s">
        <v>51</v>
      </c>
      <c r="B53" s="1" t="s">
        <v>12</v>
      </c>
      <c r="C53" s="3" t="s">
        <v>16</v>
      </c>
      <c r="D53" s="41" t="s">
        <v>231</v>
      </c>
      <c r="E53" s="5">
        <v>30</v>
      </c>
      <c r="F53" s="6" t="s">
        <v>20</v>
      </c>
      <c r="G53" s="7">
        <v>42979</v>
      </c>
      <c r="H53" s="9">
        <v>400</v>
      </c>
      <c r="I53" s="8">
        <v>135</v>
      </c>
      <c r="J53" s="8">
        <v>54000</v>
      </c>
      <c r="K53" s="53"/>
      <c r="L53" s="69"/>
    </row>
    <row r="54" spans="1:12" ht="18.75" x14ac:dyDescent="0.3">
      <c r="A54" s="531" t="s">
        <v>91</v>
      </c>
      <c r="B54" s="532"/>
      <c r="C54" s="13"/>
      <c r="D54" s="13"/>
      <c r="E54" s="13"/>
      <c r="F54" s="13"/>
      <c r="G54" s="13"/>
      <c r="H54" s="13"/>
      <c r="I54" s="13"/>
      <c r="J54" s="13"/>
      <c r="K54" s="14"/>
    </row>
    <row r="55" spans="1:12" x14ac:dyDescent="0.3">
      <c r="A55" s="49"/>
      <c r="B55" s="17" t="s">
        <v>76</v>
      </c>
      <c r="C55" s="37" t="s">
        <v>183</v>
      </c>
      <c r="D55" s="37"/>
      <c r="E55" s="37"/>
      <c r="F55" s="37"/>
      <c r="G55" s="37"/>
      <c r="H55" s="18"/>
      <c r="I55" s="18"/>
      <c r="J55" s="18"/>
      <c r="K55" s="19"/>
    </row>
    <row r="56" spans="1:12" x14ac:dyDescent="0.3">
      <c r="A56" s="49"/>
      <c r="B56" s="17" t="s">
        <v>78</v>
      </c>
      <c r="C56" s="37" t="s">
        <v>184</v>
      </c>
      <c r="D56" s="37"/>
      <c r="E56" s="37"/>
      <c r="F56" s="37"/>
      <c r="G56" s="37"/>
      <c r="H56" s="18"/>
      <c r="I56" s="18"/>
      <c r="J56" s="18"/>
      <c r="K56" s="19"/>
    </row>
    <row r="57" spans="1:12" x14ac:dyDescent="0.3">
      <c r="A57" s="49"/>
      <c r="B57" s="56" t="s">
        <v>98</v>
      </c>
      <c r="C57" s="17" t="s">
        <v>185</v>
      </c>
      <c r="D57" s="37"/>
      <c r="E57" s="37"/>
      <c r="F57" s="37"/>
      <c r="G57" s="37"/>
      <c r="H57" s="18"/>
      <c r="I57" s="18"/>
      <c r="J57" s="18"/>
      <c r="K57" s="19"/>
    </row>
    <row r="58" spans="1:12" x14ac:dyDescent="0.3">
      <c r="A58" s="49"/>
      <c r="B58" s="17" t="s">
        <v>83</v>
      </c>
      <c r="C58" s="45" t="s">
        <v>186</v>
      </c>
      <c r="D58" s="37"/>
      <c r="E58" s="37"/>
      <c r="F58" s="37"/>
      <c r="G58" s="37"/>
      <c r="H58" s="18"/>
      <c r="I58" s="18"/>
      <c r="J58" s="18"/>
      <c r="K58" s="19"/>
    </row>
    <row r="59" spans="1:12" x14ac:dyDescent="0.3">
      <c r="A59" s="49"/>
      <c r="B59" s="17" t="s">
        <v>81</v>
      </c>
      <c r="C59" s="58" t="s">
        <v>191</v>
      </c>
      <c r="D59" s="37"/>
      <c r="E59" s="37"/>
      <c r="F59" s="37"/>
      <c r="G59" s="37"/>
      <c r="H59" s="18"/>
      <c r="I59" s="18"/>
      <c r="J59" s="18"/>
      <c r="K59" s="19"/>
    </row>
    <row r="60" spans="1:12" x14ac:dyDescent="0.3">
      <c r="A60" s="49"/>
      <c r="B60" s="17" t="s">
        <v>85</v>
      </c>
      <c r="C60" s="45" t="s">
        <v>188</v>
      </c>
      <c r="D60" s="37"/>
      <c r="E60" s="37"/>
      <c r="F60" s="37"/>
      <c r="G60" s="37"/>
      <c r="H60" s="18"/>
      <c r="I60" s="18"/>
      <c r="J60" s="18"/>
      <c r="K60" s="19"/>
    </row>
    <row r="61" spans="1:12" x14ac:dyDescent="0.3">
      <c r="A61" s="49"/>
      <c r="B61" s="56" t="s">
        <v>165</v>
      </c>
      <c r="C61" s="45" t="s">
        <v>190</v>
      </c>
      <c r="D61" s="37"/>
      <c r="E61" s="37"/>
      <c r="F61" s="37"/>
      <c r="G61" s="37"/>
      <c r="H61" s="18"/>
      <c r="I61" s="18"/>
      <c r="J61" s="18"/>
      <c r="K61" s="19"/>
    </row>
    <row r="62" spans="1:12" x14ac:dyDescent="0.3">
      <c r="A62" s="49"/>
      <c r="B62" s="17" t="s">
        <v>81</v>
      </c>
      <c r="C62" s="58" t="s">
        <v>187</v>
      </c>
      <c r="D62" s="37"/>
      <c r="E62" s="37"/>
      <c r="F62" s="37"/>
      <c r="G62" s="37"/>
      <c r="H62" s="18"/>
      <c r="I62" s="18"/>
      <c r="J62" s="18"/>
      <c r="K62" s="19"/>
    </row>
    <row r="63" spans="1:12" x14ac:dyDescent="0.3">
      <c r="A63" s="49"/>
      <c r="B63" s="17" t="s">
        <v>85</v>
      </c>
      <c r="C63" s="45" t="s">
        <v>189</v>
      </c>
      <c r="D63" s="37"/>
      <c r="E63" s="37"/>
      <c r="F63" s="37"/>
      <c r="G63" s="37"/>
      <c r="H63" s="18"/>
      <c r="I63" s="18"/>
      <c r="J63" s="18"/>
      <c r="K63" s="19"/>
    </row>
    <row r="64" spans="1:12" ht="15" x14ac:dyDescent="0.25">
      <c r="A64" s="50"/>
      <c r="B64" s="21"/>
      <c r="C64" s="21"/>
      <c r="D64" s="21"/>
      <c r="E64" s="21"/>
      <c r="F64" s="21"/>
      <c r="G64" s="21"/>
      <c r="H64" s="22"/>
      <c r="I64" s="22"/>
      <c r="J64" s="22"/>
      <c r="K64" s="23"/>
    </row>
    <row r="65" spans="1:12" ht="7.5" customHeight="1" x14ac:dyDescent="0.25">
      <c r="A65" s="47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2" x14ac:dyDescent="0.3">
      <c r="A66" s="48" t="s">
        <v>73</v>
      </c>
      <c r="B66" s="1" t="s">
        <v>56</v>
      </c>
      <c r="C66" s="3" t="s">
        <v>50</v>
      </c>
      <c r="D66" s="41" t="s">
        <v>156</v>
      </c>
      <c r="E66" s="5" t="s">
        <v>158</v>
      </c>
      <c r="F66" s="6"/>
      <c r="G66" s="7">
        <v>42986</v>
      </c>
      <c r="H66" s="9">
        <v>192</v>
      </c>
      <c r="I66" s="8">
        <v>315</v>
      </c>
      <c r="J66" s="8">
        <v>60480</v>
      </c>
      <c r="K66" s="53"/>
      <c r="L66" s="69" t="s">
        <v>250</v>
      </c>
    </row>
    <row r="67" spans="1:12" x14ac:dyDescent="0.3">
      <c r="A67" s="48" t="s">
        <v>74</v>
      </c>
      <c r="B67" s="1" t="s">
        <v>56</v>
      </c>
      <c r="C67" s="3" t="s">
        <v>50</v>
      </c>
      <c r="D67" s="41" t="s">
        <v>157</v>
      </c>
      <c r="E67" s="5" t="s">
        <v>158</v>
      </c>
      <c r="F67" s="6"/>
      <c r="G67" s="7">
        <v>42986</v>
      </c>
      <c r="H67" s="9">
        <v>312</v>
      </c>
      <c r="I67" s="8">
        <v>320</v>
      </c>
      <c r="J67" s="8">
        <v>99840</v>
      </c>
      <c r="K67" s="53"/>
      <c r="L67" s="69" t="s">
        <v>250</v>
      </c>
    </row>
    <row r="68" spans="1:12" ht="18" x14ac:dyDescent="0.35">
      <c r="A68" s="531" t="s">
        <v>91</v>
      </c>
      <c r="B68" s="532"/>
      <c r="C68" s="13"/>
      <c r="D68" s="13"/>
      <c r="E68" s="13"/>
      <c r="F68" s="13"/>
      <c r="G68" s="13"/>
      <c r="H68" s="13"/>
      <c r="I68" s="13"/>
      <c r="J68" s="13"/>
      <c r="K68" s="14"/>
    </row>
    <row r="69" spans="1:12" x14ac:dyDescent="0.3">
      <c r="A69" s="49"/>
      <c r="B69" s="17" t="s">
        <v>76</v>
      </c>
      <c r="C69" s="37" t="s">
        <v>192</v>
      </c>
      <c r="D69" s="37"/>
      <c r="E69" s="37"/>
      <c r="F69" s="37"/>
      <c r="G69" s="37"/>
      <c r="H69" s="18"/>
      <c r="I69" s="18"/>
      <c r="J69" s="18"/>
      <c r="K69" s="19"/>
    </row>
    <row r="70" spans="1:12" x14ac:dyDescent="0.3">
      <c r="A70" s="49"/>
      <c r="B70" s="17" t="s">
        <v>78</v>
      </c>
      <c r="C70" s="37" t="s">
        <v>193</v>
      </c>
      <c r="D70" s="37"/>
      <c r="E70" s="37"/>
      <c r="F70" s="37"/>
      <c r="G70" s="37"/>
      <c r="H70" s="18"/>
      <c r="I70" s="59"/>
      <c r="J70" s="18"/>
      <c r="K70" s="19"/>
    </row>
    <row r="71" spans="1:12" x14ac:dyDescent="0.3">
      <c r="A71" s="49"/>
      <c r="B71" s="56" t="s">
        <v>98</v>
      </c>
      <c r="C71" s="45" t="s">
        <v>194</v>
      </c>
      <c r="D71" s="37"/>
      <c r="E71" s="37"/>
      <c r="F71" s="37"/>
      <c r="G71" s="37"/>
      <c r="H71" s="18"/>
      <c r="I71" s="18"/>
      <c r="J71" s="18"/>
      <c r="K71" s="19"/>
    </row>
    <row r="72" spans="1:12" x14ac:dyDescent="0.3">
      <c r="A72" s="49"/>
      <c r="B72" s="17" t="s">
        <v>169</v>
      </c>
      <c r="C72" s="17" t="s">
        <v>196</v>
      </c>
      <c r="D72" s="37"/>
      <c r="E72" s="37"/>
      <c r="F72" s="37"/>
      <c r="G72" s="37"/>
      <c r="H72" s="18"/>
      <c r="I72" s="18"/>
      <c r="J72" s="18"/>
      <c r="K72" s="19"/>
    </row>
    <row r="73" spans="1:12" x14ac:dyDescent="0.3">
      <c r="A73" s="49"/>
      <c r="B73" s="17" t="s">
        <v>85</v>
      </c>
      <c r="C73" s="44" t="s">
        <v>195</v>
      </c>
      <c r="D73" s="37"/>
      <c r="E73" s="37"/>
      <c r="F73" s="37"/>
      <c r="G73" s="37"/>
      <c r="H73" s="18"/>
      <c r="I73" s="18"/>
      <c r="J73" s="18"/>
      <c r="K73" s="19"/>
    </row>
    <row r="74" spans="1:12" x14ac:dyDescent="0.3">
      <c r="A74" s="49"/>
      <c r="B74" s="56" t="s">
        <v>165</v>
      </c>
      <c r="C74" s="45" t="s">
        <v>197</v>
      </c>
      <c r="D74" s="37"/>
      <c r="E74" s="37"/>
      <c r="F74" s="37"/>
      <c r="G74" s="37"/>
      <c r="H74" s="18"/>
      <c r="I74" s="18"/>
      <c r="J74" s="18"/>
      <c r="K74" s="19"/>
    </row>
    <row r="75" spans="1:12" x14ac:dyDescent="0.3">
      <c r="A75" s="49"/>
      <c r="B75" s="17" t="s">
        <v>85</v>
      </c>
      <c r="C75" s="45" t="s">
        <v>199</v>
      </c>
      <c r="D75" s="37"/>
      <c r="E75" s="37"/>
      <c r="F75" s="37"/>
      <c r="G75" s="37"/>
      <c r="H75" s="18"/>
      <c r="I75" s="18"/>
      <c r="J75" s="18"/>
      <c r="K75" s="19"/>
    </row>
    <row r="76" spans="1:12" x14ac:dyDescent="0.3">
      <c r="A76" s="49"/>
      <c r="B76" s="56" t="s">
        <v>198</v>
      </c>
      <c r="C76" s="45" t="s">
        <v>200</v>
      </c>
      <c r="D76" s="37"/>
      <c r="E76" s="37"/>
      <c r="F76" s="37"/>
      <c r="G76" s="37"/>
      <c r="H76" s="18"/>
      <c r="I76" s="18"/>
      <c r="J76" s="18"/>
      <c r="K76" s="19"/>
    </row>
    <row r="77" spans="1:12" x14ac:dyDescent="0.3">
      <c r="A77" s="49"/>
      <c r="B77" s="17" t="s">
        <v>85</v>
      </c>
      <c r="C77" s="45" t="s">
        <v>201</v>
      </c>
      <c r="D77" s="37"/>
      <c r="E77" s="37"/>
      <c r="F77" s="37"/>
      <c r="G77" s="37"/>
      <c r="H77" s="18"/>
      <c r="I77" s="18"/>
      <c r="J77" s="18"/>
      <c r="K77" s="19"/>
    </row>
    <row r="78" spans="1:12" x14ac:dyDescent="0.3">
      <c r="A78" s="50"/>
      <c r="B78" s="21"/>
      <c r="C78" s="21"/>
      <c r="D78" s="21"/>
      <c r="E78" s="21"/>
      <c r="F78" s="21"/>
      <c r="G78" s="21"/>
      <c r="H78" s="22"/>
      <c r="I78" s="22"/>
      <c r="J78" s="22"/>
      <c r="K78" s="23"/>
    </row>
  </sheetData>
  <mergeCells count="7">
    <mergeCell ref="A68:B68"/>
    <mergeCell ref="L1:P1"/>
    <mergeCell ref="A3:B3"/>
    <mergeCell ref="A18:B18"/>
    <mergeCell ref="A28:B28"/>
    <mergeCell ref="A43:B43"/>
    <mergeCell ref="A54:B54"/>
  </mergeCells>
  <conditionalFormatting sqref="G2">
    <cfRule type="cellIs" dxfId="1862" priority="35" operator="between">
      <formula>TODAY()</formula>
      <formula>TODAY()+10</formula>
    </cfRule>
  </conditionalFormatting>
  <conditionalFormatting sqref="G2">
    <cfRule type="cellIs" dxfId="1861" priority="34" operator="between">
      <formula>TODAY()</formula>
      <formula>TODAY()+10</formula>
    </cfRule>
  </conditionalFormatting>
  <conditionalFormatting sqref="G27">
    <cfRule type="cellIs" dxfId="1860" priority="21" operator="between">
      <formula>TODAY()</formula>
      <formula>TODAY()+10</formula>
    </cfRule>
  </conditionalFormatting>
  <conditionalFormatting sqref="G27">
    <cfRule type="cellIs" dxfId="1859" priority="22" operator="between">
      <formula>TODAY()</formula>
      <formula>TODAY()+10</formula>
    </cfRule>
  </conditionalFormatting>
  <conditionalFormatting sqref="G66">
    <cfRule type="cellIs" dxfId="1858" priority="17" operator="between">
      <formula>TODAY()</formula>
      <formula>TODAY()+10</formula>
    </cfRule>
  </conditionalFormatting>
  <conditionalFormatting sqref="G66">
    <cfRule type="cellIs" dxfId="1857" priority="16" operator="between">
      <formula>TODAY()</formula>
      <formula>TODAY()+10</formula>
    </cfRule>
  </conditionalFormatting>
  <conditionalFormatting sqref="G67">
    <cfRule type="cellIs" dxfId="1856" priority="13" operator="between">
      <formula>TODAY()</formula>
      <formula>TODAY()+10</formula>
    </cfRule>
  </conditionalFormatting>
  <conditionalFormatting sqref="G67">
    <cfRule type="cellIs" dxfId="1855" priority="12" operator="between">
      <formula>TODAY()</formula>
      <formula>TODAY()+10</formula>
    </cfRule>
  </conditionalFormatting>
  <conditionalFormatting sqref="G53">
    <cfRule type="cellIs" dxfId="1854" priority="11" operator="between">
      <formula>TODAY()</formula>
      <formula>TODAY()+10</formula>
    </cfRule>
  </conditionalFormatting>
  <conditionalFormatting sqref="G53">
    <cfRule type="cellIs" dxfId="1853" priority="10" operator="between">
      <formula>TODAY()</formula>
      <formula>TODAY()+10</formula>
    </cfRule>
  </conditionalFormatting>
  <conditionalFormatting sqref="G41:G42">
    <cfRule type="cellIs" dxfId="1852" priority="9" operator="between">
      <formula>TODAY()</formula>
      <formula>TODAY()+10</formula>
    </cfRule>
  </conditionalFormatting>
  <conditionalFormatting sqref="G41:G42">
    <cfRule type="cellIs" dxfId="1851" priority="8" operator="between">
      <formula>TODAY()</formula>
      <formula>TODAY()+10</formula>
    </cfRule>
  </conditionalFormatting>
  <conditionalFormatting sqref="G16">
    <cfRule type="cellIs" dxfId="1850" priority="6" operator="between">
      <formula>TODAY()</formula>
      <formula>TODAY()+10</formula>
    </cfRule>
  </conditionalFormatting>
  <conditionalFormatting sqref="G16">
    <cfRule type="cellIs" dxfId="1849" priority="7" operator="between">
      <formula>TODAY()</formula>
      <formula>TODAY()+10</formula>
    </cfRule>
  </conditionalFormatting>
  <conditionalFormatting sqref="G17">
    <cfRule type="cellIs" dxfId="1848" priority="4" operator="between">
      <formula>TODAY()</formula>
      <formula>TODAY()+10</formula>
    </cfRule>
  </conditionalFormatting>
  <conditionalFormatting sqref="G17">
    <cfRule type="cellIs" dxfId="1847" priority="5" operator="between">
      <formula>TODAY()</formula>
      <formula>TODAY()+10</formula>
    </cfRule>
  </conditionalFormatting>
  <conditionalFormatting sqref="G15">
    <cfRule type="cellIs" dxfId="1846" priority="1" operator="between">
      <formula>TODAY()</formula>
      <formula>TODAY()+10</formula>
    </cfRule>
  </conditionalFormatting>
  <dataValidations count="4">
    <dataValidation type="list" allowBlank="1" showInputMessage="1" showErrorMessage="1" sqref="E66:E67 E2 E41:E42 E53 E16:E17">
      <formula1>PLAZOdePAGO</formula1>
    </dataValidation>
    <dataValidation type="list" allowBlank="1" showInputMessage="1" showErrorMessage="1" sqref="B41:B42 B15">
      <formula1>MATERIALES</formula1>
    </dataValidation>
    <dataValidation type="list" allowBlank="1" showInputMessage="1" showErrorMessage="1" sqref="C41:D42 C15">
      <formula1>PROVEEDORES</formula1>
    </dataValidation>
    <dataValidation type="list" allowBlank="1" showInputMessage="1" showErrorMessage="1" sqref="F41:F42">
      <formula1>PLAZOdePAGO2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showGridLines="0" topLeftCell="A52" workbookViewId="0">
      <selection activeCell="A63" sqref="A63:XFD70"/>
    </sheetView>
  </sheetViews>
  <sheetFormatPr baseColWidth="10" defaultColWidth="11.44140625" defaultRowHeight="14.4" x14ac:dyDescent="0.3"/>
  <cols>
    <col min="1" max="1" width="12.5546875" style="10" bestFit="1" customWidth="1"/>
    <col min="2" max="2" width="23.44140625" style="10" customWidth="1"/>
    <col min="3" max="3" width="24" style="10" customWidth="1"/>
    <col min="4" max="4" width="11.44140625" style="76"/>
    <col min="5" max="5" width="4.44140625" style="10" bestFit="1" customWidth="1"/>
    <col min="6" max="6" width="6.44140625" style="10" bestFit="1" customWidth="1"/>
    <col min="7" max="10" width="11.44140625" style="10"/>
    <col min="11" max="11" width="11.44140625" style="10" customWidth="1"/>
    <col min="12" max="16384" width="11.44140625" style="10"/>
  </cols>
  <sheetData>
    <row r="1" spans="1:16" ht="24" x14ac:dyDescent="0.25">
      <c r="A1" s="46" t="s">
        <v>0</v>
      </c>
      <c r="B1" s="46" t="s">
        <v>1</v>
      </c>
      <c r="C1" s="46" t="s">
        <v>2</v>
      </c>
      <c r="D1" s="60" t="s">
        <v>111</v>
      </c>
      <c r="E1" s="60" t="s">
        <v>21</v>
      </c>
      <c r="F1" s="61" t="s">
        <v>22</v>
      </c>
      <c r="G1" s="61" t="s">
        <v>3</v>
      </c>
      <c r="H1" s="46" t="s">
        <v>19</v>
      </c>
      <c r="I1" s="46" t="s">
        <v>23</v>
      </c>
      <c r="J1" s="46" t="s">
        <v>75</v>
      </c>
      <c r="K1" s="46" t="s">
        <v>159</v>
      </c>
      <c r="L1" s="535" t="s">
        <v>255</v>
      </c>
      <c r="M1" s="536"/>
      <c r="N1" s="536"/>
      <c r="O1" s="536"/>
      <c r="P1" s="536"/>
    </row>
    <row r="2" spans="1:16" ht="5.0999999999999996" customHeight="1" x14ac:dyDescent="0.25">
      <c r="A2" s="47"/>
      <c r="B2" s="24"/>
      <c r="C2" s="24"/>
      <c r="D2" s="71"/>
      <c r="E2" s="24"/>
      <c r="F2" s="24"/>
      <c r="G2" s="24"/>
      <c r="H2" s="24"/>
      <c r="I2" s="24"/>
      <c r="J2" s="24"/>
      <c r="K2" s="24"/>
    </row>
    <row r="3" spans="1:16" ht="15" customHeight="1" x14ac:dyDescent="0.3">
      <c r="A3" s="66" t="s">
        <v>162</v>
      </c>
      <c r="B3" s="1" t="s">
        <v>9</v>
      </c>
      <c r="C3" s="3" t="s">
        <v>41</v>
      </c>
      <c r="D3" s="70" t="s">
        <v>129</v>
      </c>
      <c r="E3" s="54">
        <v>150</v>
      </c>
      <c r="F3" s="52" t="s">
        <v>20</v>
      </c>
      <c r="G3" s="7">
        <v>42979</v>
      </c>
      <c r="H3" s="9">
        <v>125</v>
      </c>
      <c r="I3" s="8">
        <v>829</v>
      </c>
      <c r="J3" s="8">
        <f>+H3*I3</f>
        <v>103625</v>
      </c>
      <c r="K3" s="53">
        <v>42836</v>
      </c>
      <c r="L3" s="10" t="s">
        <v>256</v>
      </c>
    </row>
    <row r="4" spans="1:16" ht="18.75" x14ac:dyDescent="0.3">
      <c r="A4" s="531" t="s">
        <v>91</v>
      </c>
      <c r="B4" s="532"/>
      <c r="C4" s="13"/>
      <c r="D4" s="72"/>
      <c r="E4" s="13"/>
      <c r="F4" s="13"/>
      <c r="G4" s="13"/>
      <c r="H4" s="13"/>
      <c r="I4" s="13"/>
      <c r="J4" s="13"/>
      <c r="K4" s="14"/>
    </row>
    <row r="5" spans="1:16" x14ac:dyDescent="0.3">
      <c r="A5" s="49"/>
      <c r="B5" s="17" t="s">
        <v>76</v>
      </c>
      <c r="C5" s="37" t="s">
        <v>41</v>
      </c>
      <c r="D5" s="73"/>
      <c r="E5" s="37"/>
      <c r="F5" s="37"/>
      <c r="G5" s="37"/>
      <c r="H5" s="18"/>
      <c r="I5" s="18"/>
      <c r="J5" s="18"/>
      <c r="K5" s="19"/>
      <c r="M5" s="59" t="str">
        <f>+UPPER(H5)</f>
        <v/>
      </c>
    </row>
    <row r="6" spans="1:16" x14ac:dyDescent="0.3">
      <c r="A6" s="49"/>
      <c r="B6" s="17" t="s">
        <v>78</v>
      </c>
      <c r="C6" s="37" t="s">
        <v>254</v>
      </c>
      <c r="D6" s="73"/>
      <c r="E6" s="37"/>
      <c r="F6" s="37"/>
      <c r="G6" s="37"/>
      <c r="H6" s="18"/>
      <c r="I6" s="59"/>
      <c r="J6" s="18"/>
      <c r="K6" s="19"/>
    </row>
    <row r="7" spans="1:16" x14ac:dyDescent="0.3">
      <c r="A7" s="49"/>
      <c r="B7" s="17" t="s">
        <v>81</v>
      </c>
      <c r="C7" s="17">
        <v>453514</v>
      </c>
      <c r="D7" s="73"/>
      <c r="E7" s="37"/>
      <c r="F7" s="37"/>
      <c r="G7" s="37"/>
      <c r="H7" s="18"/>
      <c r="I7" s="59"/>
      <c r="J7" s="18"/>
      <c r="K7" s="19"/>
    </row>
    <row r="8" spans="1:16" x14ac:dyDescent="0.3">
      <c r="A8" s="49"/>
      <c r="B8" s="56" t="s">
        <v>98</v>
      </c>
      <c r="C8" s="45" t="s">
        <v>251</v>
      </c>
      <c r="D8" s="73"/>
      <c r="E8" s="37"/>
      <c r="F8" s="37"/>
      <c r="G8" s="37"/>
      <c r="H8" s="18"/>
      <c r="I8" s="18"/>
      <c r="J8" s="18"/>
      <c r="K8" s="19"/>
    </row>
    <row r="9" spans="1:16" x14ac:dyDescent="0.3">
      <c r="A9" s="49"/>
      <c r="B9" s="17" t="s">
        <v>83</v>
      </c>
      <c r="C9" s="45" t="s">
        <v>252</v>
      </c>
      <c r="D9" s="73"/>
      <c r="E9" s="37"/>
      <c r="F9" s="37"/>
      <c r="G9" s="37"/>
      <c r="H9" s="18"/>
      <c r="I9" s="18"/>
      <c r="J9" s="18"/>
      <c r="K9" s="19"/>
    </row>
    <row r="10" spans="1:16" x14ac:dyDescent="0.3">
      <c r="A10" s="49"/>
      <c r="B10" s="17" t="s">
        <v>85</v>
      </c>
      <c r="C10" s="45" t="s">
        <v>253</v>
      </c>
      <c r="D10" s="73"/>
      <c r="E10" s="37"/>
      <c r="F10" s="37"/>
      <c r="G10" s="37"/>
      <c r="H10" s="18"/>
      <c r="I10" s="18"/>
      <c r="J10" s="18"/>
      <c r="K10" s="19"/>
    </row>
    <row r="11" spans="1:16" ht="15" x14ac:dyDescent="0.25">
      <c r="A11" s="50"/>
      <c r="B11" s="21"/>
      <c r="C11" s="21"/>
      <c r="D11" s="74"/>
      <c r="E11" s="21"/>
      <c r="F11" s="21"/>
      <c r="G11" s="21"/>
      <c r="H11" s="22"/>
      <c r="I11" s="22"/>
      <c r="J11" s="22"/>
      <c r="K11" s="23"/>
    </row>
    <row r="12" spans="1:16" ht="5.0999999999999996" customHeight="1" x14ac:dyDescent="0.25">
      <c r="A12" s="47"/>
      <c r="B12" s="24"/>
      <c r="C12" s="24"/>
      <c r="D12" s="71"/>
      <c r="E12" s="24"/>
      <c r="F12" s="24"/>
      <c r="G12" s="24"/>
      <c r="H12" s="24"/>
      <c r="I12" s="24"/>
      <c r="J12" s="24"/>
      <c r="K12" s="24"/>
    </row>
    <row r="13" spans="1:16" x14ac:dyDescent="0.3">
      <c r="A13" s="66" t="s">
        <v>144</v>
      </c>
      <c r="B13" s="1" t="s">
        <v>43</v>
      </c>
      <c r="C13" s="3" t="s">
        <v>42</v>
      </c>
      <c r="D13" s="70">
        <v>300000959</v>
      </c>
      <c r="E13" s="67">
        <v>90</v>
      </c>
      <c r="F13" s="4" t="s">
        <v>20</v>
      </c>
      <c r="G13" s="7">
        <v>42979</v>
      </c>
      <c r="H13" s="9">
        <v>111.28</v>
      </c>
      <c r="I13" s="8">
        <v>280</v>
      </c>
      <c r="J13" s="8">
        <v>31158.400000000001</v>
      </c>
      <c r="K13" s="53">
        <v>42887</v>
      </c>
      <c r="L13" s="10" t="s">
        <v>256</v>
      </c>
    </row>
    <row r="14" spans="1:16" x14ac:dyDescent="0.3">
      <c r="A14" s="66" t="s">
        <v>145</v>
      </c>
      <c r="B14" s="1" t="s">
        <v>43</v>
      </c>
      <c r="C14" s="3" t="s">
        <v>42</v>
      </c>
      <c r="D14" s="70">
        <v>300000960</v>
      </c>
      <c r="E14" s="67">
        <v>90</v>
      </c>
      <c r="F14" s="4" t="s">
        <v>20</v>
      </c>
      <c r="G14" s="7">
        <v>42979</v>
      </c>
      <c r="H14" s="9">
        <v>55.94</v>
      </c>
      <c r="I14" s="8">
        <v>280</v>
      </c>
      <c r="J14" s="8">
        <v>15663.199999999999</v>
      </c>
      <c r="K14" s="53">
        <v>42887</v>
      </c>
      <c r="L14" s="10" t="s">
        <v>256</v>
      </c>
    </row>
    <row r="15" spans="1:16" ht="18.75" x14ac:dyDescent="0.3">
      <c r="A15" s="531" t="s">
        <v>91</v>
      </c>
      <c r="B15" s="532"/>
      <c r="C15" s="13"/>
      <c r="D15" s="72"/>
      <c r="E15" s="13"/>
      <c r="F15" s="13"/>
      <c r="G15" s="13"/>
      <c r="H15" s="13"/>
      <c r="I15" s="13"/>
      <c r="J15" s="13"/>
      <c r="K15" s="14"/>
    </row>
    <row r="16" spans="1:16" x14ac:dyDescent="0.3">
      <c r="A16" s="49"/>
      <c r="B16" s="17" t="s">
        <v>76</v>
      </c>
      <c r="C16" s="37" t="s">
        <v>42</v>
      </c>
      <c r="D16" s="73"/>
      <c r="E16" s="37"/>
      <c r="F16" s="37"/>
      <c r="G16" s="37"/>
      <c r="H16" s="18"/>
      <c r="I16" s="18"/>
      <c r="J16" s="18"/>
      <c r="K16" s="19"/>
    </row>
    <row r="17" spans="1:12" x14ac:dyDescent="0.3">
      <c r="A17" s="49"/>
      <c r="B17" s="17" t="s">
        <v>78</v>
      </c>
      <c r="C17" s="37" t="s">
        <v>119</v>
      </c>
      <c r="D17" s="73"/>
      <c r="E17" s="37"/>
      <c r="F17" s="37"/>
      <c r="G17" s="37"/>
      <c r="H17" s="37"/>
      <c r="I17" s="18"/>
      <c r="J17" s="18"/>
      <c r="K17" s="19"/>
    </row>
    <row r="18" spans="1:12" x14ac:dyDescent="0.3">
      <c r="A18" s="49"/>
      <c r="B18" s="17" t="s">
        <v>81</v>
      </c>
      <c r="C18" s="37" t="s">
        <v>117</v>
      </c>
      <c r="D18" s="73"/>
      <c r="E18" s="37"/>
      <c r="F18" s="37"/>
      <c r="G18" s="37"/>
      <c r="H18" s="18"/>
      <c r="I18" s="18"/>
      <c r="J18" s="18"/>
      <c r="K18" s="19"/>
    </row>
    <row r="19" spans="1:12" x14ac:dyDescent="0.3">
      <c r="A19" s="49"/>
      <c r="B19" s="17" t="s">
        <v>98</v>
      </c>
      <c r="C19" s="44" t="s">
        <v>118</v>
      </c>
      <c r="D19" s="73"/>
      <c r="E19" s="37"/>
      <c r="F19" s="37"/>
      <c r="G19" s="37"/>
      <c r="H19" s="18"/>
      <c r="I19" s="18"/>
      <c r="J19" s="18"/>
      <c r="K19" s="19"/>
    </row>
    <row r="20" spans="1:12" x14ac:dyDescent="0.3">
      <c r="A20" s="49"/>
      <c r="B20" s="17" t="s">
        <v>83</v>
      </c>
      <c r="C20" s="37" t="s">
        <v>116</v>
      </c>
      <c r="D20" s="73"/>
      <c r="E20" s="37"/>
      <c r="F20" s="37"/>
      <c r="G20" s="37"/>
      <c r="H20" s="18"/>
      <c r="I20" s="18"/>
      <c r="J20" s="18"/>
      <c r="K20" s="19"/>
    </row>
    <row r="21" spans="1:12" x14ac:dyDescent="0.3">
      <c r="A21" s="49"/>
      <c r="B21" s="17" t="s">
        <v>84</v>
      </c>
      <c r="C21" s="37" t="s">
        <v>114</v>
      </c>
      <c r="D21" s="73"/>
      <c r="E21" s="37"/>
      <c r="F21" s="37"/>
      <c r="G21" s="37"/>
      <c r="H21" s="18"/>
      <c r="I21" s="18"/>
      <c r="J21" s="18"/>
      <c r="K21" s="19"/>
    </row>
    <row r="22" spans="1:12" x14ac:dyDescent="0.3">
      <c r="A22" s="49"/>
      <c r="B22" s="17" t="s">
        <v>85</v>
      </c>
      <c r="C22" s="37" t="s">
        <v>115</v>
      </c>
      <c r="D22" s="73"/>
      <c r="E22" s="37"/>
      <c r="F22" s="37"/>
      <c r="G22" s="37"/>
      <c r="H22" s="18"/>
      <c r="I22" s="18"/>
      <c r="J22" s="18"/>
      <c r="K22" s="19"/>
    </row>
    <row r="23" spans="1:12" ht="15" x14ac:dyDescent="0.25">
      <c r="A23" s="50"/>
      <c r="B23" s="21"/>
      <c r="C23" s="21"/>
      <c r="D23" s="74"/>
      <c r="E23" s="21"/>
      <c r="F23" s="21"/>
      <c r="G23" s="21"/>
      <c r="H23" s="22"/>
      <c r="I23" s="22"/>
      <c r="J23" s="22"/>
      <c r="K23" s="23"/>
    </row>
    <row r="24" spans="1:12" ht="5.0999999999999996" customHeight="1" x14ac:dyDescent="0.25">
      <c r="A24" s="47"/>
      <c r="B24" s="24"/>
      <c r="C24" s="24"/>
      <c r="D24" s="71"/>
      <c r="E24" s="24"/>
      <c r="F24" s="24"/>
      <c r="G24" s="24"/>
      <c r="H24" s="24"/>
      <c r="I24" s="24"/>
      <c r="J24" s="24"/>
      <c r="K24" s="24"/>
    </row>
    <row r="25" spans="1:12" x14ac:dyDescent="0.3">
      <c r="A25" s="48" t="s">
        <v>51</v>
      </c>
      <c r="B25" s="1" t="s">
        <v>12</v>
      </c>
      <c r="C25" s="3" t="s">
        <v>16</v>
      </c>
      <c r="D25" s="75" t="s">
        <v>231</v>
      </c>
      <c r="E25" s="5">
        <v>30</v>
      </c>
      <c r="F25" s="6" t="s">
        <v>20</v>
      </c>
      <c r="G25" s="7">
        <v>42979</v>
      </c>
      <c r="H25" s="9">
        <v>400</v>
      </c>
      <c r="I25" s="8">
        <v>135</v>
      </c>
      <c r="J25" s="8">
        <v>54000</v>
      </c>
      <c r="K25" s="53"/>
      <c r="L25" s="10" t="s">
        <v>256</v>
      </c>
    </row>
    <row r="26" spans="1:12" ht="18.75" x14ac:dyDescent="0.3">
      <c r="A26" s="531" t="s">
        <v>91</v>
      </c>
      <c r="B26" s="532"/>
      <c r="C26" s="13"/>
      <c r="D26" s="72"/>
      <c r="E26" s="13"/>
      <c r="F26" s="13"/>
      <c r="G26" s="13"/>
      <c r="H26" s="13"/>
      <c r="I26" s="13"/>
      <c r="J26" s="13"/>
      <c r="K26" s="14"/>
    </row>
    <row r="27" spans="1:12" x14ac:dyDescent="0.3">
      <c r="A27" s="49"/>
      <c r="B27" s="17" t="s">
        <v>76</v>
      </c>
      <c r="C27" s="37" t="s">
        <v>183</v>
      </c>
      <c r="D27" s="73"/>
      <c r="E27" s="37"/>
      <c r="F27" s="37"/>
      <c r="G27" s="37"/>
      <c r="H27" s="18"/>
      <c r="I27" s="18"/>
      <c r="J27" s="18"/>
      <c r="K27" s="19"/>
    </row>
    <row r="28" spans="1:12" x14ac:dyDescent="0.3">
      <c r="A28" s="49"/>
      <c r="B28" s="17" t="s">
        <v>78</v>
      </c>
      <c r="C28" s="37" t="s">
        <v>184</v>
      </c>
      <c r="D28" s="73"/>
      <c r="E28" s="37"/>
      <c r="F28" s="37"/>
      <c r="G28" s="37"/>
      <c r="H28" s="18"/>
      <c r="I28" s="18"/>
      <c r="J28" s="18"/>
      <c r="K28" s="19"/>
    </row>
    <row r="29" spans="1:12" x14ac:dyDescent="0.3">
      <c r="A29" s="49"/>
      <c r="B29" s="56" t="s">
        <v>98</v>
      </c>
      <c r="C29" s="17" t="s">
        <v>185</v>
      </c>
      <c r="D29" s="73"/>
      <c r="E29" s="37"/>
      <c r="F29" s="37"/>
      <c r="G29" s="37"/>
      <c r="H29" s="18"/>
      <c r="I29" s="18"/>
      <c r="J29" s="18"/>
      <c r="K29" s="19"/>
    </row>
    <row r="30" spans="1:12" x14ac:dyDescent="0.3">
      <c r="A30" s="49"/>
      <c r="B30" s="17" t="s">
        <v>83</v>
      </c>
      <c r="C30" s="45" t="s">
        <v>186</v>
      </c>
      <c r="D30" s="73"/>
      <c r="E30" s="37"/>
      <c r="F30" s="37"/>
      <c r="G30" s="37"/>
      <c r="H30" s="18"/>
      <c r="I30" s="18"/>
      <c r="J30" s="18"/>
      <c r="K30" s="19"/>
    </row>
    <row r="31" spans="1:12" x14ac:dyDescent="0.3">
      <c r="A31" s="49"/>
      <c r="B31" s="17" t="s">
        <v>81</v>
      </c>
      <c r="C31" s="58" t="s">
        <v>191</v>
      </c>
      <c r="D31" s="73"/>
      <c r="E31" s="37"/>
      <c r="F31" s="37"/>
      <c r="G31" s="37"/>
      <c r="H31" s="18"/>
      <c r="I31" s="18"/>
      <c r="J31" s="18"/>
      <c r="K31" s="19"/>
    </row>
    <row r="32" spans="1:12" x14ac:dyDescent="0.3">
      <c r="A32" s="49"/>
      <c r="B32" s="17" t="s">
        <v>85</v>
      </c>
      <c r="C32" s="45" t="s">
        <v>188</v>
      </c>
      <c r="D32" s="73"/>
      <c r="E32" s="37"/>
      <c r="F32" s="37"/>
      <c r="G32" s="37"/>
      <c r="H32" s="18"/>
      <c r="I32" s="18"/>
      <c r="J32" s="18"/>
      <c r="K32" s="19"/>
    </row>
    <row r="33" spans="1:12" x14ac:dyDescent="0.3">
      <c r="A33" s="49"/>
      <c r="B33" s="56" t="s">
        <v>165</v>
      </c>
      <c r="C33" s="45" t="s">
        <v>190</v>
      </c>
      <c r="D33" s="73"/>
      <c r="E33" s="37"/>
      <c r="F33" s="37"/>
      <c r="G33" s="37"/>
      <c r="H33" s="18"/>
      <c r="I33" s="18"/>
      <c r="J33" s="18"/>
      <c r="K33" s="19"/>
    </row>
    <row r="34" spans="1:12" x14ac:dyDescent="0.3">
      <c r="A34" s="49"/>
      <c r="B34" s="17" t="s">
        <v>81</v>
      </c>
      <c r="C34" s="58" t="s">
        <v>187</v>
      </c>
      <c r="D34" s="73"/>
      <c r="E34" s="37"/>
      <c r="F34" s="37"/>
      <c r="G34" s="37"/>
      <c r="H34" s="18"/>
      <c r="I34" s="18"/>
      <c r="J34" s="18"/>
      <c r="K34" s="19"/>
    </row>
    <row r="35" spans="1:12" x14ac:dyDescent="0.3">
      <c r="A35" s="49"/>
      <c r="B35" s="17" t="s">
        <v>85</v>
      </c>
      <c r="C35" s="45" t="s">
        <v>189</v>
      </c>
      <c r="D35" s="73"/>
      <c r="E35" s="37"/>
      <c r="F35" s="37"/>
      <c r="G35" s="37"/>
      <c r="H35" s="18"/>
      <c r="I35" s="18"/>
      <c r="J35" s="18"/>
      <c r="K35" s="19"/>
    </row>
    <row r="36" spans="1:12" ht="15" x14ac:dyDescent="0.25">
      <c r="A36" s="50"/>
      <c r="B36" s="21"/>
      <c r="C36" s="21"/>
      <c r="D36" s="74"/>
      <c r="E36" s="21"/>
      <c r="F36" s="21"/>
      <c r="G36" s="21"/>
      <c r="H36" s="22"/>
      <c r="I36" s="22"/>
      <c r="J36" s="22"/>
      <c r="K36" s="23"/>
    </row>
    <row r="37" spans="1:12" ht="5.0999999999999996" customHeight="1" x14ac:dyDescent="0.25">
      <c r="A37" s="47"/>
      <c r="B37" s="24"/>
      <c r="C37" s="24"/>
      <c r="D37" s="71"/>
      <c r="E37" s="24"/>
      <c r="F37" s="24"/>
      <c r="G37" s="24"/>
      <c r="H37" s="24"/>
      <c r="I37" s="24"/>
      <c r="J37" s="24"/>
      <c r="K37" s="24"/>
    </row>
    <row r="38" spans="1:12" ht="15" x14ac:dyDescent="0.25">
      <c r="A38" s="48" t="s">
        <v>73</v>
      </c>
      <c r="B38" s="1" t="s">
        <v>56</v>
      </c>
      <c r="C38" s="3" t="s">
        <v>50</v>
      </c>
      <c r="D38" s="75" t="s">
        <v>156</v>
      </c>
      <c r="E38" s="5" t="s">
        <v>158</v>
      </c>
      <c r="F38" s="6"/>
      <c r="G38" s="7">
        <v>42983</v>
      </c>
      <c r="H38" s="9">
        <v>192</v>
      </c>
      <c r="I38" s="8">
        <v>315</v>
      </c>
      <c r="J38" s="8">
        <v>60480</v>
      </c>
      <c r="K38" s="53"/>
      <c r="L38" s="10" t="s">
        <v>256</v>
      </c>
    </row>
    <row r="39" spans="1:12" ht="15" x14ac:dyDescent="0.25">
      <c r="A39" s="48" t="s">
        <v>74</v>
      </c>
      <c r="B39" s="1" t="s">
        <v>56</v>
      </c>
      <c r="C39" s="3" t="s">
        <v>50</v>
      </c>
      <c r="D39" s="75" t="s">
        <v>157</v>
      </c>
      <c r="E39" s="5" t="s">
        <v>158</v>
      </c>
      <c r="F39" s="6"/>
      <c r="G39" s="7">
        <v>42983</v>
      </c>
      <c r="H39" s="9">
        <v>312</v>
      </c>
      <c r="I39" s="8">
        <v>320</v>
      </c>
      <c r="J39" s="8">
        <v>99840</v>
      </c>
      <c r="K39" s="53"/>
      <c r="L39" s="10" t="s">
        <v>256</v>
      </c>
    </row>
    <row r="40" spans="1:12" ht="18.75" x14ac:dyDescent="0.3">
      <c r="A40" s="531" t="s">
        <v>91</v>
      </c>
      <c r="B40" s="532"/>
      <c r="C40" s="13"/>
      <c r="D40" s="72"/>
      <c r="E40" s="13"/>
      <c r="F40" s="13"/>
      <c r="G40" s="13"/>
      <c r="H40" s="13"/>
      <c r="I40" s="13"/>
      <c r="J40" s="13"/>
      <c r="K40" s="14"/>
    </row>
    <row r="41" spans="1:12" x14ac:dyDescent="0.3">
      <c r="A41" s="49"/>
      <c r="B41" s="17" t="s">
        <v>76</v>
      </c>
      <c r="C41" s="37" t="s">
        <v>192</v>
      </c>
      <c r="D41" s="73"/>
      <c r="E41" s="37"/>
      <c r="F41" s="37"/>
      <c r="G41" s="37"/>
      <c r="H41" s="18"/>
      <c r="I41" s="18"/>
      <c r="J41" s="18"/>
      <c r="K41" s="19"/>
    </row>
    <row r="42" spans="1:12" x14ac:dyDescent="0.3">
      <c r="A42" s="49"/>
      <c r="B42" s="17" t="s">
        <v>78</v>
      </c>
      <c r="C42" s="37" t="s">
        <v>193</v>
      </c>
      <c r="D42" s="73"/>
      <c r="E42" s="37"/>
      <c r="F42" s="37"/>
      <c r="G42" s="37"/>
      <c r="H42" s="18"/>
      <c r="I42" s="59"/>
      <c r="J42" s="18"/>
      <c r="K42" s="19"/>
    </row>
    <row r="43" spans="1:12" x14ac:dyDescent="0.3">
      <c r="A43" s="49"/>
      <c r="B43" s="56" t="s">
        <v>98</v>
      </c>
      <c r="C43" s="45" t="s">
        <v>194</v>
      </c>
      <c r="D43" s="73"/>
      <c r="E43" s="37"/>
      <c r="F43" s="37"/>
      <c r="G43" s="37"/>
      <c r="H43" s="18"/>
      <c r="I43" s="18"/>
      <c r="J43" s="18"/>
      <c r="K43" s="19"/>
    </row>
    <row r="44" spans="1:12" ht="15" x14ac:dyDescent="0.25">
      <c r="A44" s="49"/>
      <c r="B44" s="17" t="s">
        <v>169</v>
      </c>
      <c r="C44" s="17" t="s">
        <v>196</v>
      </c>
      <c r="D44" s="73"/>
      <c r="E44" s="37"/>
      <c r="F44" s="37"/>
      <c r="G44" s="37"/>
      <c r="H44" s="18"/>
      <c r="I44" s="18"/>
      <c r="J44" s="18"/>
      <c r="K44" s="19"/>
    </row>
    <row r="45" spans="1:12" x14ac:dyDescent="0.3">
      <c r="A45" s="49"/>
      <c r="B45" s="17" t="s">
        <v>85</v>
      </c>
      <c r="C45" s="44" t="s">
        <v>195</v>
      </c>
      <c r="D45" s="73"/>
      <c r="E45" s="37"/>
      <c r="F45" s="37"/>
      <c r="G45" s="37"/>
      <c r="H45" s="18"/>
      <c r="I45" s="18"/>
      <c r="J45" s="18"/>
      <c r="K45" s="19"/>
    </row>
    <row r="46" spans="1:12" x14ac:dyDescent="0.3">
      <c r="A46" s="49"/>
      <c r="B46" s="56" t="s">
        <v>165</v>
      </c>
      <c r="C46" s="45" t="s">
        <v>197</v>
      </c>
      <c r="D46" s="73"/>
      <c r="E46" s="37"/>
      <c r="F46" s="37"/>
      <c r="G46" s="37"/>
      <c r="H46" s="18"/>
      <c r="I46" s="18"/>
      <c r="J46" s="18"/>
      <c r="K46" s="19"/>
    </row>
    <row r="47" spans="1:12" x14ac:dyDescent="0.3">
      <c r="A47" s="49"/>
      <c r="B47" s="17" t="s">
        <v>85</v>
      </c>
      <c r="C47" s="45" t="s">
        <v>199</v>
      </c>
      <c r="D47" s="73"/>
      <c r="E47" s="37"/>
      <c r="F47" s="37"/>
      <c r="G47" s="37"/>
      <c r="H47" s="18"/>
      <c r="I47" s="18"/>
      <c r="J47" s="18"/>
      <c r="K47" s="19"/>
    </row>
    <row r="48" spans="1:12" x14ac:dyDescent="0.3">
      <c r="A48" s="49"/>
      <c r="B48" s="56" t="s">
        <v>198</v>
      </c>
      <c r="C48" s="45" t="s">
        <v>200</v>
      </c>
      <c r="D48" s="73"/>
      <c r="E48" s="37"/>
      <c r="F48" s="37"/>
      <c r="G48" s="37"/>
      <c r="H48" s="18"/>
      <c r="I48" s="18"/>
      <c r="J48" s="18"/>
      <c r="K48" s="19"/>
    </row>
    <row r="49" spans="1:12" x14ac:dyDescent="0.3">
      <c r="A49" s="49"/>
      <c r="B49" s="17" t="s">
        <v>85</v>
      </c>
      <c r="C49" s="45" t="s">
        <v>201</v>
      </c>
      <c r="D49" s="73"/>
      <c r="E49" s="37"/>
      <c r="F49" s="37"/>
      <c r="G49" s="37"/>
      <c r="H49" s="18"/>
      <c r="I49" s="18"/>
      <c r="J49" s="18"/>
      <c r="K49" s="19"/>
    </row>
    <row r="50" spans="1:12" ht="15" x14ac:dyDescent="0.25">
      <c r="A50" s="50"/>
      <c r="B50" s="21"/>
      <c r="C50" s="21"/>
      <c r="D50" s="74"/>
      <c r="E50" s="21"/>
      <c r="F50" s="21"/>
      <c r="G50" s="21"/>
      <c r="H50" s="22"/>
      <c r="I50" s="22"/>
      <c r="J50" s="22"/>
      <c r="K50" s="23"/>
    </row>
    <row r="51" spans="1:12" ht="5.0999999999999996" customHeight="1" x14ac:dyDescent="0.25">
      <c r="A51" s="47"/>
      <c r="B51" s="24"/>
      <c r="C51" s="24"/>
      <c r="D51" s="71"/>
      <c r="E51" s="24"/>
      <c r="F51" s="24"/>
      <c r="G51" s="24"/>
      <c r="H51" s="24"/>
      <c r="I51" s="24"/>
      <c r="J51" s="24"/>
      <c r="K51" s="24"/>
    </row>
    <row r="52" spans="1:12" ht="15" x14ac:dyDescent="0.25">
      <c r="A52" s="48" t="s">
        <v>70</v>
      </c>
      <c r="B52" s="1" t="s">
        <v>12</v>
      </c>
      <c r="C52" s="3" t="s">
        <v>244</v>
      </c>
      <c r="D52" s="75">
        <v>293953</v>
      </c>
      <c r="E52" s="5" t="s">
        <v>5</v>
      </c>
      <c r="F52" s="6"/>
      <c r="G52" s="78" t="s">
        <v>320</v>
      </c>
      <c r="H52" s="9">
        <v>300</v>
      </c>
      <c r="I52" s="8">
        <v>115</v>
      </c>
      <c r="J52" s="8">
        <v>34500</v>
      </c>
      <c r="K52" s="53">
        <v>42985</v>
      </c>
      <c r="L52" s="69"/>
    </row>
    <row r="53" spans="1:12" ht="18.75" x14ac:dyDescent="0.3">
      <c r="A53" s="531" t="s">
        <v>91</v>
      </c>
      <c r="B53" s="532"/>
      <c r="C53" s="13"/>
      <c r="D53" s="72"/>
      <c r="E53" s="13"/>
      <c r="F53" s="13"/>
      <c r="G53" s="13"/>
      <c r="H53" s="13"/>
      <c r="I53" s="13"/>
      <c r="J53" s="13"/>
      <c r="K53" s="14"/>
    </row>
    <row r="54" spans="1:12" x14ac:dyDescent="0.3">
      <c r="A54" s="49"/>
      <c r="B54" s="17" t="s">
        <v>76</v>
      </c>
      <c r="C54" s="37" t="s">
        <v>296</v>
      </c>
      <c r="D54" s="73"/>
      <c r="E54" s="37"/>
      <c r="F54" s="37"/>
      <c r="G54" s="37"/>
      <c r="H54" s="18"/>
      <c r="I54" s="18"/>
      <c r="J54" s="18"/>
      <c r="K54" s="19"/>
    </row>
    <row r="55" spans="1:12" x14ac:dyDescent="0.3">
      <c r="A55" s="49"/>
      <c r="B55" s="17" t="s">
        <v>78</v>
      </c>
      <c r="C55" s="37" t="s">
        <v>299</v>
      </c>
      <c r="D55" s="73"/>
      <c r="E55" s="37"/>
      <c r="F55" s="37"/>
      <c r="G55" s="37"/>
      <c r="H55" s="18"/>
      <c r="I55" s="59"/>
      <c r="J55" s="18"/>
      <c r="K55" s="19"/>
    </row>
    <row r="56" spans="1:12" x14ac:dyDescent="0.3">
      <c r="A56" s="49"/>
      <c r="B56" s="56" t="s">
        <v>98</v>
      </c>
      <c r="C56" s="37" t="s">
        <v>294</v>
      </c>
      <c r="D56" s="73"/>
      <c r="E56" s="37"/>
      <c r="F56" s="37"/>
      <c r="G56" s="37"/>
      <c r="H56" s="18"/>
      <c r="I56" s="18"/>
      <c r="J56" s="18"/>
      <c r="K56" s="19"/>
    </row>
    <row r="57" spans="1:12" x14ac:dyDescent="0.3">
      <c r="A57" s="49"/>
      <c r="B57" s="17" t="s">
        <v>78</v>
      </c>
      <c r="C57" s="37" t="s">
        <v>295</v>
      </c>
      <c r="D57" s="73"/>
      <c r="E57" s="37"/>
      <c r="F57" s="37"/>
      <c r="G57" s="37"/>
      <c r="H57" s="18"/>
      <c r="I57" s="18"/>
      <c r="J57" s="18"/>
      <c r="K57" s="19"/>
    </row>
    <row r="58" spans="1:12" x14ac:dyDescent="0.3">
      <c r="A58" s="49"/>
      <c r="B58" s="17" t="s">
        <v>81</v>
      </c>
      <c r="C58" s="77" t="s">
        <v>298</v>
      </c>
      <c r="D58" s="73"/>
      <c r="E58" s="37"/>
      <c r="F58" s="37"/>
      <c r="G58" s="37"/>
      <c r="H58" s="18"/>
      <c r="I58" s="18"/>
      <c r="J58" s="18"/>
      <c r="K58" s="19"/>
    </row>
    <row r="59" spans="1:12" x14ac:dyDescent="0.3">
      <c r="A59" s="49"/>
      <c r="B59" s="17" t="s">
        <v>85</v>
      </c>
      <c r="C59" s="44" t="s">
        <v>297</v>
      </c>
      <c r="D59" s="73"/>
      <c r="E59" s="37"/>
      <c r="F59" s="37"/>
      <c r="G59" s="37"/>
      <c r="H59" s="18"/>
      <c r="I59" s="18"/>
      <c r="J59" s="18"/>
      <c r="K59" s="19"/>
    </row>
    <row r="60" spans="1:12" ht="15" x14ac:dyDescent="0.25">
      <c r="A60" s="50"/>
      <c r="B60" s="21"/>
      <c r="C60" s="21"/>
      <c r="D60" s="74"/>
      <c r="E60" s="21"/>
      <c r="F60" s="21"/>
      <c r="G60" s="21"/>
      <c r="H60" s="22"/>
      <c r="I60" s="22"/>
      <c r="J60" s="22"/>
      <c r="K60" s="23"/>
    </row>
    <row r="61" spans="1:12" ht="5.0999999999999996" customHeight="1" x14ac:dyDescent="0.25">
      <c r="A61" s="47"/>
      <c r="B61" s="24"/>
      <c r="C61" s="24"/>
      <c r="D61" s="71"/>
      <c r="E61" s="24"/>
      <c r="F61" s="24"/>
      <c r="G61" s="24"/>
      <c r="H61" s="24"/>
      <c r="I61" s="24"/>
      <c r="J61" s="24"/>
      <c r="K61" s="24"/>
    </row>
    <row r="62" spans="1:12" ht="15" x14ac:dyDescent="0.25">
      <c r="A62" s="48" t="s">
        <v>67</v>
      </c>
      <c r="B62" s="1" t="s">
        <v>4</v>
      </c>
      <c r="C62" s="3" t="s">
        <v>245</v>
      </c>
      <c r="D62" s="75">
        <v>4200567071</v>
      </c>
      <c r="E62" s="5" t="s">
        <v>5</v>
      </c>
      <c r="F62" s="6"/>
      <c r="G62" s="7">
        <v>42986</v>
      </c>
      <c r="H62" s="9">
        <v>308</v>
      </c>
      <c r="I62" s="8">
        <v>510</v>
      </c>
      <c r="J62" s="8">
        <v>157080</v>
      </c>
      <c r="K62" s="53">
        <v>42974</v>
      </c>
      <c r="L62" s="69"/>
    </row>
    <row r="63" spans="1:12" ht="18.75" x14ac:dyDescent="0.3">
      <c r="A63" s="531" t="s">
        <v>91</v>
      </c>
      <c r="B63" s="532"/>
      <c r="C63" s="13"/>
      <c r="D63" s="72"/>
      <c r="E63" s="13"/>
      <c r="F63" s="13"/>
      <c r="G63" s="13"/>
      <c r="H63" s="13"/>
      <c r="I63" s="13"/>
      <c r="J63" s="13"/>
      <c r="K63" s="14"/>
    </row>
    <row r="64" spans="1:12" x14ac:dyDescent="0.3">
      <c r="A64" s="49"/>
      <c r="B64" s="17" t="s">
        <v>76</v>
      </c>
      <c r="C64" s="37" t="s">
        <v>303</v>
      </c>
      <c r="D64" s="73"/>
      <c r="E64" s="37"/>
      <c r="F64" s="37"/>
      <c r="G64" s="37"/>
      <c r="H64" s="18"/>
      <c r="I64" s="18"/>
      <c r="J64" s="18"/>
      <c r="K64" s="19"/>
    </row>
    <row r="65" spans="1:12" x14ac:dyDescent="0.3">
      <c r="A65" s="49"/>
      <c r="B65" s="17" t="s">
        <v>78</v>
      </c>
      <c r="C65" s="37" t="s">
        <v>304</v>
      </c>
      <c r="D65" s="73"/>
      <c r="E65" s="37"/>
      <c r="F65" s="37"/>
      <c r="G65" s="37"/>
      <c r="H65" s="18"/>
      <c r="I65" s="59"/>
      <c r="J65" s="18"/>
      <c r="K65" s="19"/>
    </row>
    <row r="66" spans="1:12" x14ac:dyDescent="0.3">
      <c r="A66" s="49"/>
      <c r="B66" s="56" t="s">
        <v>98</v>
      </c>
      <c r="C66" s="45" t="s">
        <v>305</v>
      </c>
      <c r="D66" s="73"/>
      <c r="E66" s="37"/>
      <c r="F66" s="37"/>
      <c r="G66" s="37"/>
      <c r="H66" s="18"/>
      <c r="I66" s="18"/>
      <c r="J66" s="18"/>
      <c r="K66" s="19"/>
    </row>
    <row r="67" spans="1:12" ht="15" x14ac:dyDescent="0.25">
      <c r="A67" s="49"/>
      <c r="B67" s="17" t="s">
        <v>169</v>
      </c>
      <c r="C67" s="17" t="s">
        <v>300</v>
      </c>
      <c r="D67" s="73"/>
      <c r="E67" s="37"/>
      <c r="F67" s="37"/>
      <c r="G67" s="37"/>
      <c r="H67" s="18"/>
      <c r="I67" s="18"/>
      <c r="J67" s="18"/>
      <c r="K67" s="19"/>
    </row>
    <row r="68" spans="1:12" x14ac:dyDescent="0.3">
      <c r="A68" s="49"/>
      <c r="B68" s="17" t="s">
        <v>85</v>
      </c>
      <c r="C68" s="44" t="s">
        <v>301</v>
      </c>
      <c r="D68" s="73"/>
      <c r="E68" s="37"/>
      <c r="F68" s="37"/>
      <c r="G68" s="37"/>
      <c r="H68" s="18"/>
      <c r="I68" s="18"/>
      <c r="J68" s="18"/>
      <c r="K68" s="19"/>
    </row>
    <row r="69" spans="1:12" x14ac:dyDescent="0.3">
      <c r="A69" s="49"/>
      <c r="B69" s="17" t="s">
        <v>81</v>
      </c>
      <c r="C69" s="45" t="s">
        <v>302</v>
      </c>
      <c r="D69" s="73"/>
      <c r="E69" s="37"/>
      <c r="F69" s="37"/>
      <c r="G69" s="37"/>
      <c r="H69" s="18"/>
      <c r="I69" s="18"/>
      <c r="J69" s="18"/>
      <c r="K69" s="19"/>
    </row>
    <row r="70" spans="1:12" ht="15" x14ac:dyDescent="0.25">
      <c r="A70" s="50"/>
      <c r="B70" s="21"/>
      <c r="C70" s="21"/>
      <c r="D70" s="74"/>
      <c r="E70" s="21"/>
      <c r="F70" s="21"/>
      <c r="G70" s="21"/>
      <c r="H70" s="22"/>
      <c r="I70" s="22"/>
      <c r="J70" s="22"/>
      <c r="K70" s="23"/>
    </row>
    <row r="71" spans="1:12" ht="5.0999999999999996" customHeight="1" x14ac:dyDescent="0.25">
      <c r="A71" s="47"/>
      <c r="B71" s="24"/>
      <c r="C71" s="24"/>
      <c r="D71" s="71"/>
      <c r="E71" s="24"/>
      <c r="F71" s="24"/>
      <c r="G71" s="24"/>
      <c r="H71" s="24"/>
      <c r="I71" s="24"/>
      <c r="J71" s="24"/>
      <c r="K71" s="24"/>
    </row>
    <row r="72" spans="1:12" ht="15" x14ac:dyDescent="0.25">
      <c r="A72" s="48" t="s">
        <v>259</v>
      </c>
      <c r="B72" s="1" t="s">
        <v>278</v>
      </c>
      <c r="C72" s="3" t="s">
        <v>277</v>
      </c>
      <c r="D72" s="7" t="s">
        <v>314</v>
      </c>
      <c r="E72" s="5" t="s">
        <v>5</v>
      </c>
      <c r="F72" s="6"/>
      <c r="G72" s="7">
        <v>42986</v>
      </c>
      <c r="H72" s="9">
        <v>165.8</v>
      </c>
      <c r="I72" s="8">
        <v>312</v>
      </c>
      <c r="J72" s="8">
        <v>51729.600000000006</v>
      </c>
      <c r="K72" s="53">
        <v>42981</v>
      </c>
      <c r="L72" s="69"/>
    </row>
    <row r="73" spans="1:12" ht="18.75" x14ac:dyDescent="0.3">
      <c r="A73" s="531" t="s">
        <v>91</v>
      </c>
      <c r="B73" s="532"/>
      <c r="C73" s="13"/>
      <c r="D73" s="72"/>
      <c r="E73" s="13"/>
      <c r="F73" s="13"/>
      <c r="G73" s="13"/>
      <c r="H73" s="13"/>
      <c r="I73" s="13"/>
      <c r="J73" s="13"/>
      <c r="K73" s="14"/>
    </row>
    <row r="74" spans="1:12" x14ac:dyDescent="0.3">
      <c r="A74" s="49"/>
      <c r="B74" s="17" t="s">
        <v>76</v>
      </c>
      <c r="C74" s="37" t="s">
        <v>316</v>
      </c>
      <c r="D74" s="73"/>
      <c r="E74" s="37"/>
      <c r="F74" s="37"/>
      <c r="G74" s="37"/>
      <c r="H74" s="18"/>
      <c r="I74" s="18"/>
      <c r="J74" s="18"/>
      <c r="K74" s="19"/>
    </row>
    <row r="75" spans="1:12" x14ac:dyDescent="0.3">
      <c r="A75" s="49"/>
      <c r="B75" s="17" t="s">
        <v>78</v>
      </c>
      <c r="C75" s="37" t="s">
        <v>317</v>
      </c>
      <c r="D75" s="73"/>
      <c r="E75" s="37"/>
      <c r="F75" s="37"/>
      <c r="G75" s="37"/>
      <c r="H75" s="18"/>
      <c r="I75" s="59"/>
      <c r="J75" s="18"/>
      <c r="K75" s="19"/>
    </row>
    <row r="76" spans="1:12" x14ac:dyDescent="0.3">
      <c r="A76" s="49"/>
      <c r="B76" s="56" t="s">
        <v>98</v>
      </c>
      <c r="C76" s="37" t="s">
        <v>315</v>
      </c>
      <c r="D76" s="73"/>
      <c r="E76" s="37"/>
      <c r="F76" s="37"/>
      <c r="G76" s="37"/>
      <c r="H76" s="18"/>
      <c r="I76" s="18"/>
      <c r="J76" s="18"/>
      <c r="K76" s="19"/>
    </row>
    <row r="77" spans="1:12" x14ac:dyDescent="0.3">
      <c r="A77" s="49"/>
      <c r="B77" s="17" t="s">
        <v>81</v>
      </c>
      <c r="C77" s="17">
        <v>17450117</v>
      </c>
      <c r="D77" s="73"/>
      <c r="E77" s="37"/>
      <c r="F77" s="37"/>
      <c r="G77" s="37"/>
      <c r="H77" s="18"/>
      <c r="I77" s="18"/>
      <c r="J77" s="18"/>
      <c r="K77" s="19"/>
    </row>
    <row r="78" spans="1:12" ht="15" x14ac:dyDescent="0.25">
      <c r="A78" s="49"/>
      <c r="B78" s="17" t="s">
        <v>169</v>
      </c>
      <c r="C78" s="17" t="s">
        <v>318</v>
      </c>
      <c r="D78" s="73"/>
      <c r="E78" s="37"/>
      <c r="F78" s="37"/>
      <c r="G78" s="37"/>
      <c r="H78" s="18"/>
      <c r="I78" s="18"/>
      <c r="J78" s="18"/>
      <c r="K78" s="19"/>
    </row>
    <row r="79" spans="1:12" x14ac:dyDescent="0.3">
      <c r="A79" s="49"/>
      <c r="B79" s="17" t="s">
        <v>85</v>
      </c>
      <c r="C79" s="44" t="s">
        <v>319</v>
      </c>
      <c r="D79" s="73"/>
      <c r="E79" s="37"/>
      <c r="F79" s="37"/>
      <c r="G79" s="37"/>
      <c r="H79" s="18"/>
      <c r="I79" s="18"/>
      <c r="J79" s="18"/>
      <c r="K79" s="19"/>
    </row>
    <row r="80" spans="1:12" ht="15" x14ac:dyDescent="0.25">
      <c r="A80" s="50"/>
      <c r="B80" s="21"/>
      <c r="C80" s="21"/>
      <c r="D80" s="74"/>
      <c r="E80" s="21"/>
      <c r="F80" s="21"/>
      <c r="G80" s="21"/>
      <c r="H80" s="22"/>
      <c r="I80" s="22"/>
      <c r="J80" s="22"/>
      <c r="K80" s="23"/>
    </row>
  </sheetData>
  <mergeCells count="8">
    <mergeCell ref="A40:B40"/>
    <mergeCell ref="A53:B53"/>
    <mergeCell ref="A63:B63"/>
    <mergeCell ref="A73:B73"/>
    <mergeCell ref="L1:P1"/>
    <mergeCell ref="A4:B4"/>
    <mergeCell ref="A15:B15"/>
    <mergeCell ref="A26:B26"/>
  </mergeCells>
  <conditionalFormatting sqref="G39">
    <cfRule type="cellIs" dxfId="1845" priority="19" operator="between">
      <formula>TODAY()</formula>
      <formula>TODAY()+10</formula>
    </cfRule>
  </conditionalFormatting>
  <conditionalFormatting sqref="G39">
    <cfRule type="cellIs" dxfId="1844" priority="20" operator="between">
      <formula>TODAY()</formula>
      <formula>TODAY()+10</formula>
    </cfRule>
  </conditionalFormatting>
  <conditionalFormatting sqref="G3">
    <cfRule type="cellIs" dxfId="1843" priority="21" operator="between">
      <formula>TODAY()</formula>
      <formula>TODAY()+10</formula>
    </cfRule>
  </conditionalFormatting>
  <conditionalFormatting sqref="G38">
    <cfRule type="cellIs" dxfId="1842" priority="33" operator="between">
      <formula>TODAY()</formula>
      <formula>TODAY()+10</formula>
    </cfRule>
  </conditionalFormatting>
  <conditionalFormatting sqref="G38">
    <cfRule type="cellIs" dxfId="1841" priority="32" operator="between">
      <formula>TODAY()</formula>
      <formula>TODAY()+10</formula>
    </cfRule>
  </conditionalFormatting>
  <conditionalFormatting sqref="G25">
    <cfRule type="cellIs" dxfId="1840" priority="29" operator="between">
      <formula>TODAY()</formula>
      <formula>TODAY()+10</formula>
    </cfRule>
  </conditionalFormatting>
  <conditionalFormatting sqref="G25">
    <cfRule type="cellIs" dxfId="1839" priority="28" operator="between">
      <formula>TODAY()</formula>
      <formula>TODAY()+10</formula>
    </cfRule>
  </conditionalFormatting>
  <conditionalFormatting sqref="G13:G14">
    <cfRule type="cellIs" dxfId="1838" priority="27" operator="between">
      <formula>TODAY()</formula>
      <formula>TODAY()+10</formula>
    </cfRule>
  </conditionalFormatting>
  <conditionalFormatting sqref="G13:G14">
    <cfRule type="cellIs" dxfId="1837" priority="26" operator="between">
      <formula>TODAY()</formula>
      <formula>TODAY()+10</formula>
    </cfRule>
  </conditionalFormatting>
  <conditionalFormatting sqref="G62">
    <cfRule type="cellIs" dxfId="1836" priority="6" operator="between">
      <formula>TODAY()</formula>
      <formula>TODAY()+10</formula>
    </cfRule>
  </conditionalFormatting>
  <conditionalFormatting sqref="G62">
    <cfRule type="cellIs" dxfId="1835" priority="5" operator="between">
      <formula>TODAY()</formula>
      <formula>TODAY()+10</formula>
    </cfRule>
  </conditionalFormatting>
  <conditionalFormatting sqref="G72">
    <cfRule type="cellIs" dxfId="1834" priority="4" operator="between">
      <formula>TODAY()</formula>
      <formula>TODAY()+10</formula>
    </cfRule>
  </conditionalFormatting>
  <conditionalFormatting sqref="G72">
    <cfRule type="cellIs" dxfId="1833" priority="3" operator="between">
      <formula>TODAY()</formula>
      <formula>TODAY()+10</formula>
    </cfRule>
  </conditionalFormatting>
  <conditionalFormatting sqref="G52">
    <cfRule type="cellIs" dxfId="1832" priority="2" operator="between">
      <formula>TODAY()</formula>
      <formula>TODAY()+10</formula>
    </cfRule>
  </conditionalFormatting>
  <conditionalFormatting sqref="G52">
    <cfRule type="cellIs" dxfId="1831" priority="1" operator="between">
      <formula>TODAY()</formula>
      <formula>TODAY()+10</formula>
    </cfRule>
  </conditionalFormatting>
  <dataValidations count="4">
    <dataValidation type="list" allowBlank="1" showInputMessage="1" showErrorMessage="1" sqref="F13:F14">
      <formula1>PLAZOdePAGO2</formula1>
    </dataValidation>
    <dataValidation type="list" allowBlank="1" showInputMessage="1" showErrorMessage="1" sqref="C13:D14 C3">
      <formula1>PROVEEDORES</formula1>
    </dataValidation>
    <dataValidation type="list" allowBlank="1" showInputMessage="1" showErrorMessage="1" sqref="B13:B14 B3">
      <formula1>MATERIALES</formula1>
    </dataValidation>
    <dataValidation type="list" allowBlank="1" showInputMessage="1" showErrorMessage="1" sqref="E38:E39 E13:E14 E25 E72 E62 E52">
      <formula1>PLAZOdePAGO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75</vt:i4>
      </vt:variant>
    </vt:vector>
  </HeadingPairs>
  <TitlesOfParts>
    <vt:vector size="75" baseType="lpstr">
      <vt:lpstr>PRÓXIMOS</vt:lpstr>
      <vt:lpstr>proximos</vt:lpstr>
      <vt:lpstr>PAGOS IMPORTACIONES</vt:lpstr>
      <vt:lpstr>RESUMENxSEMANA_IMP</vt:lpstr>
      <vt:lpstr>PROXIMOS 2</vt:lpstr>
      <vt:lpstr>PROXIMOS 3</vt:lpstr>
      <vt:lpstr>SEMANA 10 (2017)</vt:lpstr>
      <vt:lpstr>SEMANA 11 (2017)</vt:lpstr>
      <vt:lpstr>SEMANA 12 (2017)</vt:lpstr>
      <vt:lpstr>SEMANA 13 (2017)</vt:lpstr>
      <vt:lpstr>SEMANA 14 (2017)</vt:lpstr>
      <vt:lpstr>SEMANA 15 (2017)</vt:lpstr>
      <vt:lpstr>SEMANA 16 (2017)</vt:lpstr>
      <vt:lpstr>SEMANA 17 (2017)</vt:lpstr>
      <vt:lpstr>SEMANA 18 (2017)</vt:lpstr>
      <vt:lpstr>SEMANA 19 (2017)</vt:lpstr>
      <vt:lpstr>SEMANA 20 (2017)</vt:lpstr>
      <vt:lpstr>SEMANA 21 (2017)</vt:lpstr>
      <vt:lpstr>SEMANA 22 (2017)</vt:lpstr>
      <vt:lpstr>SEMANA 23 (2017)</vt:lpstr>
      <vt:lpstr>SEMANA 24 (2017)</vt:lpstr>
      <vt:lpstr>SEMANA 25 (2017)</vt:lpstr>
      <vt:lpstr>SEMANA 26 (2017)</vt:lpstr>
      <vt:lpstr>SEMANA 27 (2017)</vt:lpstr>
      <vt:lpstr>SEMANA 29 (2017)</vt:lpstr>
      <vt:lpstr>SEMANA 28 (2017)</vt:lpstr>
      <vt:lpstr>SEMANA 01 (2018)</vt:lpstr>
      <vt:lpstr>SEMANA 02 (2018)</vt:lpstr>
      <vt:lpstr>SEMANA 03 (2018)</vt:lpstr>
      <vt:lpstr>SEMANA 04 (2018)</vt:lpstr>
      <vt:lpstr>SEMANA 05 (2018)</vt:lpstr>
      <vt:lpstr>SEMANA 06 (2018)</vt:lpstr>
      <vt:lpstr>SEMANA 07 (2018)</vt:lpstr>
      <vt:lpstr>SEMANA 08 (2018)</vt:lpstr>
      <vt:lpstr>SEMANA 09 (2018)</vt:lpstr>
      <vt:lpstr>SEMANA 10 (2018)</vt:lpstr>
      <vt:lpstr>SEMANA 11 (2018)</vt:lpstr>
      <vt:lpstr>SEMANA 13 (2018)</vt:lpstr>
      <vt:lpstr>SEMANA 14 (2018)</vt:lpstr>
      <vt:lpstr>SEMANA 15 (2018)</vt:lpstr>
      <vt:lpstr>SEMANA 16 (2018)</vt:lpstr>
      <vt:lpstr>SEMANA 17 (2018)</vt:lpstr>
      <vt:lpstr>SEMANA 18 (2018)</vt:lpstr>
      <vt:lpstr>SEMANA 19 (2018)</vt:lpstr>
      <vt:lpstr>SEMANA 20 (2018)</vt:lpstr>
      <vt:lpstr>SEMANA 22 (2018)</vt:lpstr>
      <vt:lpstr>SEMANA 23 (2018)</vt:lpstr>
      <vt:lpstr>SEMANA 24 (2018)</vt:lpstr>
      <vt:lpstr>SEMANA 26 (2018)</vt:lpstr>
      <vt:lpstr>SEMANA 28 (2018)</vt:lpstr>
      <vt:lpstr>Hoja1</vt:lpstr>
      <vt:lpstr>SEMANA 29 (2018)</vt:lpstr>
      <vt:lpstr>SEMANA 30 (2018)</vt:lpstr>
      <vt:lpstr>SEMANA 31 (2018)</vt:lpstr>
      <vt:lpstr>SEMANA 32 (2018)</vt:lpstr>
      <vt:lpstr>SEMANA 33 (2018)</vt:lpstr>
      <vt:lpstr>SEMANA 34 (2018)</vt:lpstr>
      <vt:lpstr>SEMANA 36 (2018)</vt:lpstr>
      <vt:lpstr>SEMANA 38 (2018)</vt:lpstr>
      <vt:lpstr>SEMANA 39 (2018)</vt:lpstr>
      <vt:lpstr>SEMANA 40 (2018)</vt:lpstr>
      <vt:lpstr>SEMANA 42 (2018)</vt:lpstr>
      <vt:lpstr>SEMANA 43 (2018)</vt:lpstr>
      <vt:lpstr>SEMANA 44 (2018)</vt:lpstr>
      <vt:lpstr>SEMANA 45 (2018)</vt:lpstr>
      <vt:lpstr>SEMANA 46 (2018)</vt:lpstr>
      <vt:lpstr>SEMANA 47 (2018)</vt:lpstr>
      <vt:lpstr>SEMANA 48 (2018)</vt:lpstr>
      <vt:lpstr>HISTÓRICO PAGOS - IMPORT</vt:lpstr>
      <vt:lpstr>PAGOS COMPRAS LOCALES</vt:lpstr>
      <vt:lpstr>SEMANA 41 (2018)</vt:lpstr>
      <vt:lpstr>HISTÓRICO PAGOS - CL</vt:lpstr>
      <vt:lpstr>TF</vt:lpstr>
      <vt:lpstr>PROG. DUAS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Elena Cabeza Valles</dc:creator>
  <cp:lastModifiedBy>Patricia Elena Cabeza Valles</cp:lastModifiedBy>
  <cp:lastPrinted>2019-02-15T17:19:03Z</cp:lastPrinted>
  <dcterms:created xsi:type="dcterms:W3CDTF">2018-04-09T22:31:36Z</dcterms:created>
  <dcterms:modified xsi:type="dcterms:W3CDTF">2022-02-21T21:56:37Z</dcterms:modified>
</cp:coreProperties>
</file>