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Archivos\"/>
    </mc:Choice>
  </mc:AlternateContent>
  <bookViews>
    <workbookView xWindow="0" yWindow="60" windowWidth="20490" windowHeight="8985"/>
  </bookViews>
  <sheets>
    <sheet name="Estadistica" sheetId="2" r:id="rId1"/>
    <sheet name="Calculos del IMC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3" i="2" l="1"/>
  <c r="L31" i="2"/>
  <c r="J31" i="2"/>
  <c r="G31" i="2" l="1"/>
  <c r="B20" i="2" l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F20" i="2" l="1"/>
  <c r="F2" i="2" l="1"/>
  <c r="L47" i="2" l="1"/>
  <c r="L43" i="2" l="1"/>
  <c r="I43" i="2"/>
  <c r="F43" i="2"/>
  <c r="F45" i="2" s="1"/>
  <c r="E31" i="2" l="1"/>
  <c r="I47" i="2" l="1"/>
  <c r="F23" i="2"/>
  <c r="E23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2" i="1"/>
  <c r="G23" i="2" l="1"/>
  <c r="F26" i="2" s="1"/>
  <c r="F31" i="2"/>
  <c r="N31" i="2" s="1"/>
  <c r="E32" i="2" l="1"/>
  <c r="H31" i="2"/>
  <c r="F32" i="2" l="1"/>
  <c r="E33" i="2" s="1"/>
  <c r="F33" i="2" s="1"/>
  <c r="E34" i="2" s="1"/>
  <c r="I31" i="2"/>
  <c r="K47" i="2"/>
  <c r="H32" i="2" l="1"/>
  <c r="G32" i="2"/>
  <c r="L32" i="2" s="1"/>
  <c r="N32" i="2"/>
  <c r="M43" i="2"/>
  <c r="N33" i="2"/>
  <c r="G33" i="2"/>
  <c r="H33" i="2"/>
  <c r="F34" i="2"/>
  <c r="E35" i="2" s="1"/>
  <c r="N34" i="2" l="1"/>
  <c r="I32" i="2"/>
  <c r="J47" i="2"/>
  <c r="J45" i="2" s="1"/>
  <c r="J43" i="2"/>
  <c r="G34" i="2"/>
  <c r="I33" i="2"/>
  <c r="H34" i="2"/>
  <c r="F35" i="2"/>
  <c r="E36" i="2" s="1"/>
  <c r="N35" i="2" l="1"/>
  <c r="L34" i="2"/>
  <c r="K43" i="2"/>
  <c r="J41" i="2" s="1"/>
  <c r="G35" i="2"/>
  <c r="I34" i="2"/>
  <c r="H35" i="2"/>
  <c r="F36" i="2"/>
  <c r="E37" i="2" s="1"/>
  <c r="N36" i="2" l="1"/>
  <c r="L35" i="2"/>
  <c r="I35" i="2"/>
  <c r="G36" i="2"/>
  <c r="H36" i="2"/>
  <c r="F37" i="2"/>
  <c r="G37" i="2" s="1"/>
  <c r="N37" i="2" l="1"/>
  <c r="L36" i="2"/>
  <c r="L37" i="2" s="1"/>
  <c r="H37" i="2"/>
  <c r="I36" i="2"/>
  <c r="G38" i="2"/>
  <c r="I37" i="2" l="1"/>
  <c r="I38" i="2" s="1"/>
  <c r="E41" i="2" s="1"/>
  <c r="G41" i="2" s="1"/>
  <c r="Y102" i="2" l="1"/>
  <c r="Y89" i="2"/>
  <c r="Y55" i="2"/>
  <c r="J32" i="2"/>
  <c r="J33" i="2"/>
  <c r="J34" i="2"/>
  <c r="J35" i="2"/>
  <c r="J36" i="2"/>
  <c r="J37" i="2"/>
  <c r="J38" i="2" l="1"/>
  <c r="E43" i="2" s="1"/>
  <c r="E45" i="2" l="1"/>
  <c r="G45" i="2" s="1"/>
  <c r="G43" i="2"/>
  <c r="Y103" i="2" l="1"/>
  <c r="X108" i="2" s="1"/>
  <c r="X109" i="2" s="1"/>
  <c r="Y90" i="2"/>
  <c r="X96" i="2" s="1"/>
  <c r="Y56" i="2"/>
  <c r="V62" i="2" l="1"/>
  <c r="V78" i="2"/>
  <c r="V94" i="2"/>
  <c r="V67" i="2"/>
  <c r="V83" i="2"/>
  <c r="V99" i="2"/>
  <c r="V72" i="2"/>
  <c r="V88" i="2"/>
  <c r="V104" i="2"/>
  <c r="V77" i="2"/>
  <c r="V93" i="2"/>
  <c r="V70" i="2"/>
  <c r="V102" i="2"/>
  <c r="V64" i="2"/>
  <c r="V80" i="2"/>
  <c r="V69" i="2"/>
  <c r="V101" i="2"/>
  <c r="V90" i="2"/>
  <c r="V79" i="2"/>
  <c r="V68" i="2"/>
  <c r="V100" i="2"/>
  <c r="V89" i="2"/>
  <c r="V66" i="2"/>
  <c r="V82" i="2"/>
  <c r="V98" i="2"/>
  <c r="V71" i="2"/>
  <c r="V87" i="2"/>
  <c r="V103" i="2"/>
  <c r="V76" i="2"/>
  <c r="V92" i="2"/>
  <c r="V65" i="2"/>
  <c r="V81" i="2"/>
  <c r="V97" i="2"/>
  <c r="V86" i="2"/>
  <c r="V75" i="2"/>
  <c r="V91" i="2"/>
  <c r="V96" i="2"/>
  <c r="V85" i="2"/>
  <c r="V74" i="2"/>
  <c r="V63" i="2"/>
  <c r="V95" i="2"/>
  <c r="V84" i="2"/>
  <c r="V73" i="2"/>
  <c r="V61" i="2"/>
  <c r="AD58" i="2"/>
  <c r="AD59" i="2" s="1"/>
  <c r="AC55" i="2"/>
  <c r="AD55" i="2" s="1"/>
  <c r="T58" i="2" l="1"/>
  <c r="AD60" i="2"/>
  <c r="AC56" i="2"/>
  <c r="Y108" i="2"/>
  <c r="Y96" i="2"/>
  <c r="X97" i="2"/>
</calcChain>
</file>

<file path=xl/sharedStrings.xml><?xml version="1.0" encoding="utf-8"?>
<sst xmlns="http://schemas.openxmlformats.org/spreadsheetml/2006/main" count="92" uniqueCount="78">
  <si>
    <t>Peso</t>
  </si>
  <si>
    <t>Estatura</t>
  </si>
  <si>
    <t>IMC</t>
  </si>
  <si>
    <t>Bajo peso</t>
  </si>
  <si>
    <t>Delgado</t>
  </si>
  <si>
    <t>Aceptable</t>
  </si>
  <si>
    <t>Descripcion</t>
  </si>
  <si>
    <t>Sobrepeso</t>
  </si>
  <si>
    <t>Obesidad</t>
  </si>
  <si>
    <t>Obesidad grave</t>
  </si>
  <si>
    <t>Obesidad morbida</t>
  </si>
  <si>
    <t>Adecuado</t>
  </si>
  <si>
    <t>Sobre peso</t>
  </si>
  <si>
    <t>Obesidad Grado 1</t>
  </si>
  <si>
    <t>Obesidad Grado 2</t>
  </si>
  <si>
    <t>Obesidad Morbida Grado 3</t>
  </si>
  <si>
    <t>18,5-24,9</t>
  </si>
  <si>
    <t>25-29,9</t>
  </si>
  <si>
    <t>30-34,9</t>
  </si>
  <si>
    <t>35-39,9</t>
  </si>
  <si>
    <t>&lt; 40</t>
  </si>
  <si>
    <t>&gt; 18,5</t>
  </si>
  <si>
    <t>① Datos Desordenados</t>
  </si>
  <si>
    <t>② Datos ordenados</t>
  </si>
  <si>
    <t xml:space="preserve">③ Numero de clases </t>
  </si>
  <si>
    <t>1+3.3Log(60)</t>
  </si>
  <si>
    <t xml:space="preserve">⑤ Anchura de la clase </t>
  </si>
  <si>
    <t>R/N. clases</t>
  </si>
  <si>
    <t>Clase</t>
  </si>
  <si>
    <t>Li</t>
  </si>
  <si>
    <t>LS</t>
  </si>
  <si>
    <t>FA</t>
  </si>
  <si>
    <t>Rango</t>
  </si>
  <si>
    <t>N. Clases</t>
  </si>
  <si>
    <t>Anchura</t>
  </si>
  <si>
    <t xml:space="preserve">⑥ Tabla de distribicion de frecuencias </t>
  </si>
  <si>
    <t>Intervalos</t>
  </si>
  <si>
    <t>Fa</t>
  </si>
  <si>
    <t>⑦ Media</t>
  </si>
  <si>
    <t>Media (F*X)</t>
  </si>
  <si>
    <t>Frecuencias (F)</t>
  </si>
  <si>
    <t xml:space="preserve">Marca de clase (X) Li+Ls/2 </t>
  </si>
  <si>
    <t>(F*X)</t>
  </si>
  <si>
    <t>Totalde datos</t>
  </si>
  <si>
    <t>⑧ Varianza</t>
  </si>
  <si>
    <t xml:space="preserve">⑨ Desviacion estandar </t>
  </si>
  <si>
    <t>⑩ Mediana</t>
  </si>
  <si>
    <t>N</t>
  </si>
  <si>
    <t>FM</t>
  </si>
  <si>
    <t>W</t>
  </si>
  <si>
    <t>LM</t>
  </si>
  <si>
    <t>D1</t>
  </si>
  <si>
    <t>D2</t>
  </si>
  <si>
    <t>⑪ Moda</t>
  </si>
  <si>
    <t>n</t>
  </si>
  <si>
    <t>o</t>
  </si>
  <si>
    <t>z</t>
  </si>
  <si>
    <t>e</t>
  </si>
  <si>
    <t>Varianza                          F*(X-M²)</t>
  </si>
  <si>
    <t>Tamaño de la muestra</t>
  </si>
  <si>
    <t>④ Rango de mayora- menor</t>
  </si>
  <si>
    <t>Media</t>
  </si>
  <si>
    <t>Desviacion</t>
  </si>
  <si>
    <t>X</t>
  </si>
  <si>
    <t>Datos</t>
  </si>
  <si>
    <t>Distribucion</t>
  </si>
  <si>
    <t>Probabilidad</t>
  </si>
  <si>
    <t>Personas</t>
  </si>
  <si>
    <t>Cuantos clientes tienen un IMC por debajo del 25</t>
  </si>
  <si>
    <t>P(X&gt;25)</t>
  </si>
  <si>
    <t>② Distribucion Normal</t>
  </si>
  <si>
    <t>Probabilidad de que el IMC de los clientes se de entre 25 y 30</t>
  </si>
  <si>
    <t>P(25 &lt; X &lt; 30)</t>
  </si>
  <si>
    <t>X1</t>
  </si>
  <si>
    <t>X2</t>
  </si>
  <si>
    <t>Probabilidad de que el IMC de los clientes sea mayor a 30</t>
  </si>
  <si>
    <t>P( X &gt; 30)</t>
  </si>
  <si>
    <t>Intervalos 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</si>
</sst>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Fill="1"/>
    <xf numFmtId="0" fontId="6" fillId="0" borderId="0" xfId="0" applyFont="1" applyFill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12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4" fontId="0" fillId="7" borderId="0" xfId="0" applyNumberFormat="1" applyFill="1" applyAlignment="1">
      <alignment horizontal="center"/>
    </xf>
    <xf numFmtId="4" fontId="0" fillId="12" borderId="0" xfId="0" applyNumberFormat="1" applyFill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/>
    </xf>
    <xf numFmtId="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11" borderId="2" xfId="0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3" borderId="2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65" fontId="5" fillId="10" borderId="2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11" fillId="13" borderId="2" xfId="3" applyFont="1" applyFill="1" applyBorder="1" applyAlignment="1">
      <alignment horizontal="center" vertical="center"/>
    </xf>
    <xf numFmtId="0" fontId="9" fillId="13" borderId="2" xfId="2" applyFont="1" applyFill="1" applyBorder="1" applyAlignment="1">
      <alignment horizontal="center" vertical="center"/>
    </xf>
    <xf numFmtId="165" fontId="9" fillId="13" borderId="2" xfId="2" applyNumberFormat="1" applyFont="1" applyFill="1" applyBorder="1" applyAlignment="1">
      <alignment horizontal="center" vertical="center"/>
    </xf>
    <xf numFmtId="1" fontId="9" fillId="13" borderId="2" xfId="2" applyNumberFormat="1" applyFont="1" applyFill="1" applyBorder="1" applyAlignment="1">
      <alignment horizontal="center" vertical="center"/>
    </xf>
    <xf numFmtId="165" fontId="9" fillId="13" borderId="2" xfId="1" applyNumberFormat="1" applyFont="1" applyFill="1" applyBorder="1" applyAlignment="1">
      <alignment horizontal="center" vertical="center"/>
    </xf>
    <xf numFmtId="165" fontId="9" fillId="13" borderId="4" xfId="2" applyNumberFormat="1" applyFont="1" applyFill="1" applyBorder="1" applyAlignment="1">
      <alignment horizontal="center" vertical="center"/>
    </xf>
    <xf numFmtId="165" fontId="0" fillId="11" borderId="2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5" fontId="0" fillId="13" borderId="2" xfId="0" applyNumberForma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1" fontId="0" fillId="13" borderId="2" xfId="0" applyNumberFormat="1" applyFill="1" applyBorder="1" applyAlignment="1">
      <alignment horizontal="center" vertical="center"/>
    </xf>
    <xf numFmtId="0" fontId="9" fillId="9" borderId="2" xfId="2" applyFont="1" applyFill="1" applyBorder="1" applyAlignment="1">
      <alignment horizontal="center" vertical="center"/>
    </xf>
    <xf numFmtId="165" fontId="9" fillId="9" borderId="2" xfId="2" applyNumberFormat="1" applyFont="1" applyFill="1" applyBorder="1" applyAlignment="1">
      <alignment horizontal="center" vertical="center"/>
    </xf>
    <xf numFmtId="1" fontId="9" fillId="9" borderId="2" xfId="2" applyNumberFormat="1" applyFont="1" applyFill="1" applyBorder="1" applyAlignment="1">
      <alignment horizontal="center" vertical="center"/>
    </xf>
    <xf numFmtId="165" fontId="9" fillId="9" borderId="4" xfId="2" applyNumberFormat="1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left" vertical="center"/>
    </xf>
    <xf numFmtId="165" fontId="0" fillId="10" borderId="2" xfId="0" applyNumberForma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 wrapText="1"/>
    </xf>
    <xf numFmtId="165" fontId="0" fillId="10" borderId="6" xfId="0" applyNumberForma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165" fontId="0" fillId="0" borderId="0" xfId="0" applyNumberFormat="1" applyFill="1" applyBorder="1" applyAlignment="1"/>
    <xf numFmtId="0" fontId="0" fillId="10" borderId="2" xfId="0" applyFill="1" applyBorder="1" applyAlignment="1">
      <alignment horizontal="center"/>
    </xf>
    <xf numFmtId="0" fontId="9" fillId="14" borderId="2" xfId="2" applyFont="1" applyFill="1" applyBorder="1" applyAlignment="1">
      <alignment horizontal="center" vertical="center"/>
    </xf>
    <xf numFmtId="165" fontId="9" fillId="14" borderId="2" xfId="2" applyNumberFormat="1" applyFont="1" applyFill="1" applyBorder="1" applyAlignment="1">
      <alignment horizontal="center" vertical="center"/>
    </xf>
    <xf numFmtId="1" fontId="9" fillId="14" borderId="2" xfId="2" applyNumberFormat="1" applyFont="1" applyFill="1" applyBorder="1" applyAlignment="1">
      <alignment horizontal="center" vertical="center"/>
    </xf>
    <xf numFmtId="165" fontId="9" fillId="14" borderId="4" xfId="2" applyNumberFormat="1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13" borderId="2" xfId="0" applyFill="1" applyBorder="1" applyAlignment="1">
      <alignment horizontal="right"/>
    </xf>
    <xf numFmtId="165" fontId="10" fillId="13" borderId="4" xfId="0" applyNumberFormat="1" applyFont="1" applyFill="1" applyBorder="1" applyAlignment="1">
      <alignment horizontal="left" vertical="center"/>
    </xf>
    <xf numFmtId="0" fontId="10" fillId="13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10" borderId="2" xfId="0" applyFill="1" applyBorder="1" applyAlignment="1">
      <alignment horizontal="right" vertical="center"/>
    </xf>
    <xf numFmtId="2" fontId="0" fillId="0" borderId="0" xfId="0" applyNumberFormat="1"/>
    <xf numFmtId="166" fontId="0" fillId="0" borderId="0" xfId="0" applyNumberFormat="1"/>
    <xf numFmtId="0" fontId="0" fillId="0" borderId="2" xfId="0" applyBorder="1"/>
    <xf numFmtId="0" fontId="0" fillId="0" borderId="2" xfId="1" applyNumberFormat="1" applyFont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0" fillId="0" borderId="2" xfId="0" applyNumberFormat="1" applyBorder="1"/>
    <xf numFmtId="166" fontId="0" fillId="0" borderId="2" xfId="0" applyNumberFormat="1" applyBorder="1"/>
    <xf numFmtId="2" fontId="0" fillId="0" borderId="2" xfId="1" applyNumberFormat="1" applyFont="1" applyBorder="1"/>
    <xf numFmtId="0" fontId="5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/>
    </xf>
    <xf numFmtId="165" fontId="0" fillId="13" borderId="4" xfId="0" applyNumberFormat="1" applyFill="1" applyBorder="1" applyAlignment="1">
      <alignment horizontal="center" vertical="center"/>
    </xf>
    <xf numFmtId="165" fontId="0" fillId="13" borderId="6" xfId="0" applyNumberFormat="1" applyFill="1" applyBorder="1" applyAlignment="1">
      <alignment horizontal="center" vertical="center"/>
    </xf>
    <xf numFmtId="165" fontId="0" fillId="10" borderId="7" xfId="0" applyNumberForma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5" fillId="13" borderId="11" xfId="0" applyFont="1" applyFill="1" applyBorder="1" applyAlignment="1">
      <alignment horizontal="center" vertical="center" wrapText="1"/>
    </xf>
    <xf numFmtId="165" fontId="0" fillId="14" borderId="4" xfId="0" applyNumberFormat="1" applyFill="1" applyBorder="1" applyAlignment="1">
      <alignment horizontal="center" vertical="center"/>
    </xf>
    <xf numFmtId="165" fontId="0" fillId="14" borderId="6" xfId="0" applyNumberFormat="1" applyFill="1" applyBorder="1" applyAlignment="1">
      <alignment horizontal="center" vertical="center"/>
    </xf>
    <xf numFmtId="165" fontId="0" fillId="9" borderId="4" xfId="0" applyNumberFormat="1" applyFill="1" applyBorder="1" applyAlignment="1">
      <alignment horizontal="center" vertical="center"/>
    </xf>
    <xf numFmtId="165" fontId="0" fillId="9" borderId="6" xfId="0" applyNumberForma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left"/>
    </xf>
    <xf numFmtId="0" fontId="10" fillId="11" borderId="2" xfId="0" applyFont="1" applyFill="1" applyBorder="1" applyAlignment="1">
      <alignment horizontal="left"/>
    </xf>
    <xf numFmtId="0" fontId="10" fillId="13" borderId="2" xfId="0" applyFont="1" applyFill="1" applyBorder="1" applyAlignment="1">
      <alignment horizontal="left"/>
    </xf>
    <xf numFmtId="0" fontId="10" fillId="13" borderId="4" xfId="0" applyFont="1" applyFill="1" applyBorder="1" applyAlignment="1">
      <alignment horizontal="left"/>
    </xf>
    <xf numFmtId="0" fontId="10" fillId="13" borderId="5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1" fillId="13" borderId="2" xfId="0" applyFont="1" applyFill="1" applyBorder="1" applyAlignment="1">
      <alignment horizontal="center" vertical="center"/>
    </xf>
    <xf numFmtId="0" fontId="11" fillId="13" borderId="2" xfId="3" applyFont="1" applyFill="1" applyBorder="1" applyAlignment="1">
      <alignment horizontal="center" vertical="center" wrapText="1"/>
    </xf>
    <xf numFmtId="0" fontId="11" fillId="13" borderId="2" xfId="3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Bueno" xfId="3" builtinId="26"/>
    <cellStyle name="Millares" xfId="1" builtinId="3"/>
    <cellStyle name="Normal" xfId="0" builtinId="0"/>
    <cellStyle name="Título 2" xfId="2" builtinId="1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IMC de los clientes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sx="105000" sy="105000" algn="ctr" rotWithShape="0">
                <a:srgbClr val="FF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Estadistica!$N$31:$N$37</c:f>
              <c:strCache>
                <c:ptCount val="7"/>
                <c:pt idx="0">
                  <c:v>17.3 - 21.6</c:v>
                </c:pt>
                <c:pt idx="1">
                  <c:v>21.6 - 25.9</c:v>
                </c:pt>
                <c:pt idx="2">
                  <c:v>25.9 - 30.2</c:v>
                </c:pt>
                <c:pt idx="3">
                  <c:v>30.2 - 34.5</c:v>
                </c:pt>
                <c:pt idx="4">
                  <c:v>34.5 - 38.8</c:v>
                </c:pt>
                <c:pt idx="5">
                  <c:v>38.8 - 43.1</c:v>
                </c:pt>
                <c:pt idx="6">
                  <c:v>43.1 - 47.4</c:v>
                </c:pt>
              </c:strCache>
            </c:strRef>
          </c:cat>
          <c:val>
            <c:numRef>
              <c:f>Estadistica!$G$31:$G$37</c:f>
              <c:numCache>
                <c:formatCode>0</c:formatCode>
                <c:ptCount val="7"/>
                <c:pt idx="0">
                  <c:v>22</c:v>
                </c:pt>
                <c:pt idx="1">
                  <c:v>14</c:v>
                </c:pt>
                <c:pt idx="2">
                  <c:v>9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57C-877D-1EEE28D50A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"/>
        <c:overlap val="-24"/>
        <c:axId val="174780416"/>
        <c:axId val="174782336"/>
      </c:barChart>
      <c:lineChart>
        <c:grouping val="standard"/>
        <c:varyColors val="0"/>
        <c:ser>
          <c:idx val="1"/>
          <c:order val="1"/>
          <c:tx>
            <c:v>poligono</c:v>
          </c:tx>
          <c:spPr>
            <a:ln w="34925" cap="rnd">
              <a:solidFill>
                <a:schemeClr val="accent5"/>
              </a:solidFill>
              <a:round/>
              <a:headEnd type="oval" w="lg" len="lg"/>
              <a:tailEnd type="oval" w="lg" len="lg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0"/>
            <c:bubble3D val="0"/>
            <c:spPr>
              <a:ln w="34925" cap="rnd">
                <a:solidFill>
                  <a:schemeClr val="accent5"/>
                </a:solidFill>
                <a:bevel/>
                <a:headEnd type="oval" w="lg" len="lg"/>
                <a:tailEnd type="oval" w="lg" len="lg"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0F-457C-877D-1EEE28D50A5A}"/>
              </c:ext>
            </c:extLst>
          </c:dPt>
          <c:dPt>
            <c:idx val="1"/>
            <c:bubble3D val="0"/>
            <c:spPr>
              <a:ln w="34925" cap="rnd">
                <a:solidFill>
                  <a:schemeClr val="accent5"/>
                </a:solidFill>
                <a:bevel/>
                <a:headEnd type="oval" w="lg" len="lg"/>
                <a:tailEnd type="oval" w="lg" len="lg"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40F-457C-877D-1EEE28D50A5A}"/>
              </c:ext>
            </c:extLst>
          </c:dPt>
          <c:dPt>
            <c:idx val="3"/>
            <c:bubble3D val="0"/>
            <c:spPr>
              <a:ln w="34925" cap="rnd">
                <a:solidFill>
                  <a:schemeClr val="accent5"/>
                </a:solidFill>
                <a:bevel/>
                <a:headEnd type="oval" w="lg" len="lg"/>
                <a:tailEnd type="oval" w="lg" len="lg"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40F-457C-877D-1EEE28D50A5A}"/>
              </c:ext>
            </c:extLst>
          </c:dPt>
          <c:dPt>
            <c:idx val="5"/>
            <c:bubble3D val="0"/>
            <c:spPr>
              <a:ln w="34925" cap="rnd">
                <a:solidFill>
                  <a:schemeClr val="accent5"/>
                </a:solidFill>
                <a:miter lim="800000"/>
                <a:headEnd type="oval" w="lg" len="lg"/>
                <a:tailEnd type="oval" w="lg" len="lg"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240F-457C-877D-1EEE28D50A5A}"/>
              </c:ext>
            </c:extLst>
          </c:dPt>
          <c:cat>
            <c:numRef>
              <c:f>Estadistica!$F$31:$F$37</c:f>
              <c:numCache>
                <c:formatCode>0.0</c:formatCode>
                <c:ptCount val="7"/>
                <c:pt idx="0">
                  <c:v>21.6</c:v>
                </c:pt>
                <c:pt idx="1">
                  <c:v>25.900000000000002</c:v>
                </c:pt>
                <c:pt idx="2">
                  <c:v>30.200000000000003</c:v>
                </c:pt>
                <c:pt idx="3">
                  <c:v>34.5</c:v>
                </c:pt>
                <c:pt idx="4">
                  <c:v>38.799999999999997</c:v>
                </c:pt>
                <c:pt idx="5">
                  <c:v>43.099999999999994</c:v>
                </c:pt>
                <c:pt idx="6">
                  <c:v>47.399999999999991</c:v>
                </c:pt>
              </c:numCache>
            </c:numRef>
          </c:cat>
          <c:val>
            <c:numRef>
              <c:f>Estadistica!$G$31:$G$37</c:f>
              <c:numCache>
                <c:formatCode>0</c:formatCode>
                <c:ptCount val="7"/>
                <c:pt idx="0">
                  <c:v>22</c:v>
                </c:pt>
                <c:pt idx="1">
                  <c:v>14</c:v>
                </c:pt>
                <c:pt idx="2">
                  <c:v>9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40F-457C-877D-1EEE28D50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80416"/>
        <c:axId val="174782336"/>
      </c:lineChart>
      <c:catAx>
        <c:axId val="17478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Intervalos=IMC</a:t>
                </a:r>
              </a:p>
            </c:rich>
          </c:tx>
          <c:overlay val="0"/>
          <c:spPr>
            <a:noFill/>
            <a:ln>
              <a:solidFill>
                <a:srgbClr val="00B0F0"/>
              </a:solidFill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0"/>
          <a:lstStyle/>
          <a:p>
            <a:pPr>
              <a:defRPr sz="900" b="0" i="0" u="none" strike="noStrike" kern="1200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782336"/>
        <c:crosses val="autoZero"/>
        <c:auto val="1"/>
        <c:lblAlgn val="ctr"/>
        <c:lblOffset val="100"/>
        <c:tickMarkSkip val="3"/>
        <c:noMultiLvlLbl val="0"/>
      </c:catAx>
      <c:valAx>
        <c:axId val="174782336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Frecuencia= Clientes</a:t>
                </a:r>
              </a:p>
            </c:rich>
          </c:tx>
          <c:overlay val="0"/>
          <c:spPr>
            <a:noFill/>
            <a:ln>
              <a:solidFill>
                <a:srgbClr val="00B0F0"/>
              </a:solidFill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7804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Estadistica!$U$61:$U$104</c:f>
              <c:numCache>
                <c:formatCode>0.0</c:formatCode>
                <c:ptCount val="44"/>
                <c:pt idx="0">
                  <c:v>17.3</c:v>
                </c:pt>
                <c:pt idx="1">
                  <c:v>17.5</c:v>
                </c:pt>
                <c:pt idx="2" formatCode="General">
                  <c:v>18.8</c:v>
                </c:pt>
                <c:pt idx="3" formatCode="General">
                  <c:v>18.899999999999999</c:v>
                </c:pt>
                <c:pt idx="4">
                  <c:v>19</c:v>
                </c:pt>
                <c:pt idx="5" formatCode="General">
                  <c:v>19</c:v>
                </c:pt>
                <c:pt idx="6">
                  <c:v>19.399999999999999</c:v>
                </c:pt>
                <c:pt idx="7">
                  <c:v>19.5</c:v>
                </c:pt>
                <c:pt idx="8">
                  <c:v>20.100000000000001</c:v>
                </c:pt>
                <c:pt idx="9" formatCode="General">
                  <c:v>20.399999999999999</c:v>
                </c:pt>
                <c:pt idx="10" formatCode="General">
                  <c:v>20.5</c:v>
                </c:pt>
                <c:pt idx="11">
                  <c:v>21</c:v>
                </c:pt>
                <c:pt idx="12" formatCode="General">
                  <c:v>21.4</c:v>
                </c:pt>
                <c:pt idx="13" formatCode="General">
                  <c:v>22.8</c:v>
                </c:pt>
                <c:pt idx="14" formatCode="General">
                  <c:v>22.9</c:v>
                </c:pt>
                <c:pt idx="15">
                  <c:v>23</c:v>
                </c:pt>
                <c:pt idx="16">
                  <c:v>23.4</c:v>
                </c:pt>
                <c:pt idx="17" formatCode="General">
                  <c:v>23.7</c:v>
                </c:pt>
                <c:pt idx="18" formatCode="General">
                  <c:v>23.9</c:v>
                </c:pt>
                <c:pt idx="19" formatCode="General">
                  <c:v>24.2</c:v>
                </c:pt>
                <c:pt idx="20" formatCode="General">
                  <c:v>24.3</c:v>
                </c:pt>
                <c:pt idx="21" formatCode="General">
                  <c:v>24.7</c:v>
                </c:pt>
                <c:pt idx="22" formatCode="General">
                  <c:v>25.4</c:v>
                </c:pt>
                <c:pt idx="23">
                  <c:v>26.1</c:v>
                </c:pt>
                <c:pt idx="24">
                  <c:v>26.2</c:v>
                </c:pt>
                <c:pt idx="25" formatCode="General">
                  <c:v>26.6</c:v>
                </c:pt>
                <c:pt idx="26">
                  <c:v>27</c:v>
                </c:pt>
                <c:pt idx="27" formatCode="General">
                  <c:v>27.2</c:v>
                </c:pt>
                <c:pt idx="28" formatCode="General">
                  <c:v>28.8</c:v>
                </c:pt>
                <c:pt idx="29" formatCode="General">
                  <c:v>29.1</c:v>
                </c:pt>
                <c:pt idx="30" formatCode="General">
                  <c:v>30.1</c:v>
                </c:pt>
                <c:pt idx="31">
                  <c:v>31.1</c:v>
                </c:pt>
                <c:pt idx="32">
                  <c:v>31.2</c:v>
                </c:pt>
                <c:pt idx="33">
                  <c:v>34.1</c:v>
                </c:pt>
                <c:pt idx="34" formatCode="General">
                  <c:v>34.200000000000003</c:v>
                </c:pt>
                <c:pt idx="35" formatCode="General">
                  <c:v>35.299999999999997</c:v>
                </c:pt>
                <c:pt idx="36" formatCode="General">
                  <c:v>35.6</c:v>
                </c:pt>
                <c:pt idx="37" formatCode="General">
                  <c:v>36.200000000000003</c:v>
                </c:pt>
                <c:pt idx="38" formatCode="General">
                  <c:v>36.6</c:v>
                </c:pt>
                <c:pt idx="39" formatCode="General">
                  <c:v>40.799999999999997</c:v>
                </c:pt>
                <c:pt idx="40" formatCode="General">
                  <c:v>41.9</c:v>
                </c:pt>
                <c:pt idx="41">
                  <c:v>42.2</c:v>
                </c:pt>
                <c:pt idx="42">
                  <c:v>44.4</c:v>
                </c:pt>
                <c:pt idx="43">
                  <c:v>47.1</c:v>
                </c:pt>
              </c:numCache>
            </c:numRef>
          </c:xVal>
          <c:yVal>
            <c:numRef>
              <c:f>Estadistica!$V$61:$V$104</c:f>
              <c:numCache>
                <c:formatCode>0.0000</c:formatCode>
                <c:ptCount val="44"/>
                <c:pt idx="0">
                  <c:v>2.6212957365955827E-2</c:v>
                </c:pt>
                <c:pt idx="1">
                  <c:v>2.7067820875082711E-2</c:v>
                </c:pt>
                <c:pt idx="2">
                  <c:v>3.2757663530194846E-2</c:v>
                </c:pt>
                <c:pt idx="3">
                  <c:v>3.3199502094238602E-2</c:v>
                </c:pt>
                <c:pt idx="4">
                  <c:v>3.3641156238354286E-2</c:v>
                </c:pt>
                <c:pt idx="5">
                  <c:v>3.3641156238354286E-2</c:v>
                </c:pt>
                <c:pt idx="6">
                  <c:v>3.5402603070816822E-2</c:v>
                </c:pt>
                <c:pt idx="7">
                  <c:v>3.5840824620829374E-2</c:v>
                </c:pt>
                <c:pt idx="8">
                  <c:v>3.8438752486891554E-2</c:v>
                </c:pt>
                <c:pt idx="9">
                  <c:v>3.9709485080557903E-2</c:v>
                </c:pt>
                <c:pt idx="10">
                  <c:v>4.0127671618717567E-2</c:v>
                </c:pt>
                <c:pt idx="11">
                  <c:v>4.2169926982092876E-2</c:v>
                </c:pt>
                <c:pt idx="12">
                  <c:v>4.3734321552111807E-2</c:v>
                </c:pt>
                <c:pt idx="13">
                  <c:v>4.8550961953871027E-2</c:v>
                </c:pt>
                <c:pt idx="14">
                  <c:v>4.8847700397423831E-2</c:v>
                </c:pt>
                <c:pt idx="15">
                  <c:v>4.9137278392357264E-2</c:v>
                </c:pt>
                <c:pt idx="16">
                  <c:v>5.0221063551242416E-2</c:v>
                </c:pt>
                <c:pt idx="17">
                  <c:v>5.0951768726028038E-2</c:v>
                </c:pt>
                <c:pt idx="18">
                  <c:v>5.1397850611769769E-2</c:v>
                </c:pt>
                <c:pt idx="19">
                  <c:v>5.200303353629232E-2</c:v>
                </c:pt>
                <c:pt idx="20">
                  <c:v>5.2187276579580576E-2</c:v>
                </c:pt>
                <c:pt idx="21">
                  <c:v>5.2834227502266448E-2</c:v>
                </c:pt>
                <c:pt idx="22">
                  <c:v>5.3607521911207871E-2</c:v>
                </c:pt>
                <c:pt idx="23">
                  <c:v>5.3907594154016934E-2</c:v>
                </c:pt>
                <c:pt idx="24">
                  <c:v>5.3911203888508605E-2</c:v>
                </c:pt>
                <c:pt idx="25">
                  <c:v>5.3827258133928982E-2</c:v>
                </c:pt>
                <c:pt idx="26">
                  <c:v>5.3586641492850931E-2</c:v>
                </c:pt>
                <c:pt idx="27">
                  <c:v>5.3408185545969739E-2</c:v>
                </c:pt>
                <c:pt idx="28">
                  <c:v>5.0652114152014066E-2</c:v>
                </c:pt>
                <c:pt idx="29">
                  <c:v>4.9891072850623532E-2</c:v>
                </c:pt>
                <c:pt idx="30">
                  <c:v>4.6876153142717938E-2</c:v>
                </c:pt>
                <c:pt idx="31">
                  <c:v>4.3246420251736896E-2</c:v>
                </c:pt>
                <c:pt idx="32">
                  <c:v>4.2856212185976052E-2</c:v>
                </c:pt>
                <c:pt idx="33">
                  <c:v>3.0434013934475809E-2</c:v>
                </c:pt>
                <c:pt idx="34">
                  <c:v>2.9994634761542929E-2</c:v>
                </c:pt>
                <c:pt idx="35">
                  <c:v>2.5254393396350983E-2</c:v>
                </c:pt>
                <c:pt idx="36">
                  <c:v>2.4004734702471168E-2</c:v>
                </c:pt>
                <c:pt idx="37">
                  <c:v>2.1581195562272573E-2</c:v>
                </c:pt>
                <c:pt idx="38">
                  <c:v>2.002972756847823E-2</c:v>
                </c:pt>
                <c:pt idx="39">
                  <c:v>7.6710980408379835E-3</c:v>
                </c:pt>
                <c:pt idx="40">
                  <c:v>5.6568206125956529E-3</c:v>
                </c:pt>
                <c:pt idx="41">
                  <c:v>5.1859598658749485E-3</c:v>
                </c:pt>
                <c:pt idx="42">
                  <c:v>2.6075656130047954E-3</c:v>
                </c:pt>
                <c:pt idx="43">
                  <c:v>9.9383901542316258E-4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10-4E31-B177-F1132437B109}"/>
            </c:ext>
          </c:extLst>
        </c:ser>
        <c:ser>
          <c:idx val="1"/>
          <c:order val="1"/>
          <c:tx>
            <c:v>Menosde25</c:v>
          </c:tx>
          <c:xVal>
            <c:numRef>
              <c:f>Estadistica!$U$61:$U$82</c:f>
              <c:numCache>
                <c:formatCode>0.0</c:formatCode>
                <c:ptCount val="22"/>
                <c:pt idx="0">
                  <c:v>17.3</c:v>
                </c:pt>
                <c:pt idx="1">
                  <c:v>17.5</c:v>
                </c:pt>
                <c:pt idx="2" formatCode="General">
                  <c:v>18.8</c:v>
                </c:pt>
                <c:pt idx="3" formatCode="General">
                  <c:v>18.899999999999999</c:v>
                </c:pt>
                <c:pt idx="4">
                  <c:v>19</c:v>
                </c:pt>
                <c:pt idx="5" formatCode="General">
                  <c:v>19</c:v>
                </c:pt>
                <c:pt idx="6">
                  <c:v>19.399999999999999</c:v>
                </c:pt>
                <c:pt idx="7">
                  <c:v>19.5</c:v>
                </c:pt>
                <c:pt idx="8">
                  <c:v>20.100000000000001</c:v>
                </c:pt>
                <c:pt idx="9" formatCode="General">
                  <c:v>20.399999999999999</c:v>
                </c:pt>
                <c:pt idx="10" formatCode="General">
                  <c:v>20.5</c:v>
                </c:pt>
                <c:pt idx="11">
                  <c:v>21</c:v>
                </c:pt>
                <c:pt idx="12" formatCode="General">
                  <c:v>21.4</c:v>
                </c:pt>
                <c:pt idx="13" formatCode="General">
                  <c:v>22.8</c:v>
                </c:pt>
                <c:pt idx="14" formatCode="General">
                  <c:v>22.9</c:v>
                </c:pt>
                <c:pt idx="15">
                  <c:v>23</c:v>
                </c:pt>
                <c:pt idx="16">
                  <c:v>23.4</c:v>
                </c:pt>
                <c:pt idx="17" formatCode="General">
                  <c:v>23.7</c:v>
                </c:pt>
                <c:pt idx="18" formatCode="General">
                  <c:v>23.9</c:v>
                </c:pt>
                <c:pt idx="19" formatCode="General">
                  <c:v>24.2</c:v>
                </c:pt>
                <c:pt idx="20" formatCode="General">
                  <c:v>24.3</c:v>
                </c:pt>
                <c:pt idx="21" formatCode="General">
                  <c:v>24.7</c:v>
                </c:pt>
              </c:numCache>
            </c:numRef>
          </c:xVal>
          <c:yVal>
            <c:numRef>
              <c:f>Estadistica!$V$61:$V$82</c:f>
              <c:numCache>
                <c:formatCode>0.0000</c:formatCode>
                <c:ptCount val="22"/>
                <c:pt idx="0">
                  <c:v>2.6212957365955827E-2</c:v>
                </c:pt>
                <c:pt idx="1">
                  <c:v>2.7067820875082711E-2</c:v>
                </c:pt>
                <c:pt idx="2">
                  <c:v>3.2757663530194846E-2</c:v>
                </c:pt>
                <c:pt idx="3">
                  <c:v>3.3199502094238602E-2</c:v>
                </c:pt>
                <c:pt idx="4">
                  <c:v>3.3641156238354286E-2</c:v>
                </c:pt>
                <c:pt idx="5">
                  <c:v>3.3641156238354286E-2</c:v>
                </c:pt>
                <c:pt idx="6">
                  <c:v>3.5402603070816822E-2</c:v>
                </c:pt>
                <c:pt idx="7">
                  <c:v>3.5840824620829374E-2</c:v>
                </c:pt>
                <c:pt idx="8">
                  <c:v>3.8438752486891554E-2</c:v>
                </c:pt>
                <c:pt idx="9">
                  <c:v>3.9709485080557903E-2</c:v>
                </c:pt>
                <c:pt idx="10">
                  <c:v>4.0127671618717567E-2</c:v>
                </c:pt>
                <c:pt idx="11">
                  <c:v>4.2169926982092876E-2</c:v>
                </c:pt>
                <c:pt idx="12">
                  <c:v>4.3734321552111807E-2</c:v>
                </c:pt>
                <c:pt idx="13">
                  <c:v>4.8550961953871027E-2</c:v>
                </c:pt>
                <c:pt idx="14">
                  <c:v>4.8847700397423831E-2</c:v>
                </c:pt>
                <c:pt idx="15">
                  <c:v>4.9137278392357264E-2</c:v>
                </c:pt>
                <c:pt idx="16">
                  <c:v>5.0221063551242416E-2</c:v>
                </c:pt>
                <c:pt idx="17">
                  <c:v>5.0951768726028038E-2</c:v>
                </c:pt>
                <c:pt idx="18">
                  <c:v>5.1397850611769769E-2</c:v>
                </c:pt>
                <c:pt idx="19">
                  <c:v>5.200303353629232E-2</c:v>
                </c:pt>
                <c:pt idx="20">
                  <c:v>5.2187276579580576E-2</c:v>
                </c:pt>
                <c:pt idx="21">
                  <c:v>5.2834227502266448E-2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10-4E31-B177-F1132437B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31872"/>
        <c:axId val="174841856"/>
      </c:scatterChart>
      <c:valAx>
        <c:axId val="174831872"/>
        <c:scaling>
          <c:orientation val="minMax"/>
          <c:max val="50"/>
          <c:min val="10"/>
        </c:scaling>
        <c:delete val="0"/>
        <c:axPos val="b"/>
        <c:numFmt formatCode="0.0" sourceLinked="1"/>
        <c:majorTickMark val="out"/>
        <c:minorTickMark val="none"/>
        <c:tickLblPos val="nextTo"/>
        <c:crossAx val="174841856"/>
        <c:crosses val="autoZero"/>
        <c:crossBetween val="midCat"/>
      </c:valAx>
      <c:valAx>
        <c:axId val="174841856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crossAx val="174831872"/>
        <c:crosses val="autoZero"/>
        <c:crossBetween val="midCat"/>
        <c:majorUnit val="2.0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233362</xdr:colOff>
      <xdr:row>46</xdr:row>
      <xdr:rowOff>33336</xdr:rowOff>
    </xdr:from>
    <xdr:to>
      <xdr:col>7</xdr:col>
      <xdr:colOff>719137</xdr:colOff>
      <xdr:row>70</xdr:row>
      <xdr:rowOff>114299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444500</xdr:colOff>
      <xdr:row>61</xdr:row>
      <xdr:rowOff>51857</xdr:rowOff>
    </xdr:from>
    <xdr:to>
      <xdr:col>31</xdr:col>
      <xdr:colOff>95250</xdr:colOff>
      <xdr:row>80</xdr:row>
      <xdr:rowOff>95249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topLeftCell="A30" zoomScale="80" zoomScaleNormal="80" workbookViewId="0">
      <selection activeCell="F14" sqref="F14"/>
    </sheetView>
  </sheetViews>
  <sheetFormatPr baseColWidth="10" defaultRowHeight="15" x14ac:dyDescent="0.25"/>
  <cols>
    <col min="1" max="1" width="3" bestFit="1" customWidth="1"/>
    <col min="2" max="2" width="10.140625" customWidth="1"/>
    <col min="4" max="4" width="22.28515625" bestFit="1" customWidth="1"/>
    <col min="5" max="7" width="13" bestFit="1" customWidth="1"/>
    <col min="8" max="8" width="14" bestFit="1" customWidth="1"/>
    <col min="9" max="9" width="11.7109375" bestFit="1" customWidth="1"/>
    <col min="10" max="10" width="7.28515625" customWidth="1"/>
    <col min="11" max="11" width="14" customWidth="1"/>
    <col min="12" max="12" width="13.85546875" bestFit="1" customWidth="1"/>
    <col min="13" max="13" width="17.42578125" customWidth="1"/>
    <col min="14" max="14" width="16.28515625" customWidth="1"/>
    <col min="16" max="16" width="17.7109375" customWidth="1"/>
  </cols>
  <sheetData>
    <row r="1" spans="1:15" x14ac:dyDescent="0.25">
      <c r="B1" s="98" t="s">
        <v>59</v>
      </c>
      <c r="C1" s="98"/>
    </row>
    <row r="2" spans="1:15" x14ac:dyDescent="0.25">
      <c r="B2" s="80" t="s">
        <v>54</v>
      </c>
      <c r="C2" s="69">
        <v>60</v>
      </c>
      <c r="E2" s="86" t="s">
        <v>47</v>
      </c>
      <c r="F2" s="36">
        <f>(C2*(C3)^2*(C4)^2)/((C2-1)*(C5)^2+(C3)^2*(C4)^2)</f>
        <v>59.94686519670384</v>
      </c>
    </row>
    <row r="3" spans="1:15" x14ac:dyDescent="0.25">
      <c r="B3" s="80" t="s">
        <v>55</v>
      </c>
      <c r="C3" s="69">
        <v>0.5</v>
      </c>
      <c r="E3" s="84"/>
      <c r="F3" s="85"/>
    </row>
    <row r="4" spans="1:15" x14ac:dyDescent="0.25">
      <c r="B4" s="80" t="s">
        <v>56</v>
      </c>
      <c r="C4" s="69">
        <v>2.58</v>
      </c>
    </row>
    <row r="5" spans="1:15" x14ac:dyDescent="0.25">
      <c r="B5" s="80" t="s">
        <v>57</v>
      </c>
      <c r="C5" s="69">
        <v>5.0000000000000001E-3</v>
      </c>
      <c r="L5" s="6"/>
    </row>
    <row r="7" spans="1:15" x14ac:dyDescent="0.25">
      <c r="B7" s="110" t="s">
        <v>22</v>
      </c>
      <c r="C7" s="110"/>
    </row>
    <row r="8" spans="1:15" x14ac:dyDescent="0.25">
      <c r="A8" s="32"/>
      <c r="B8" s="34">
        <v>19.5</v>
      </c>
      <c r="C8" s="34">
        <v>44.4</v>
      </c>
      <c r="D8" s="33">
        <v>19</v>
      </c>
      <c r="E8" s="33">
        <v>23.7</v>
      </c>
      <c r="F8" s="33">
        <v>17.5</v>
      </c>
      <c r="G8" s="33">
        <v>30.1</v>
      </c>
    </row>
    <row r="9" spans="1:15" x14ac:dyDescent="0.25">
      <c r="A9" s="32"/>
      <c r="B9" s="34">
        <v>27</v>
      </c>
      <c r="C9" s="34">
        <v>47.1</v>
      </c>
      <c r="D9" s="33">
        <v>23.4</v>
      </c>
      <c r="E9" s="33">
        <v>22.9</v>
      </c>
      <c r="F9" s="33">
        <v>17.5</v>
      </c>
      <c r="G9" s="33">
        <v>36.6</v>
      </c>
      <c r="H9" s="6"/>
      <c r="I9" s="6"/>
      <c r="J9" s="6"/>
      <c r="K9" s="6"/>
      <c r="M9" s="6"/>
      <c r="N9" s="6"/>
      <c r="O9" s="6"/>
    </row>
    <row r="10" spans="1:15" x14ac:dyDescent="0.25">
      <c r="A10" s="32"/>
      <c r="B10" s="34">
        <v>21</v>
      </c>
      <c r="C10" s="34">
        <v>17.3</v>
      </c>
      <c r="D10" s="33">
        <v>18.8</v>
      </c>
      <c r="E10" s="33">
        <v>23.7</v>
      </c>
      <c r="F10" s="33">
        <v>24.7</v>
      </c>
      <c r="G10" s="33">
        <v>26.6</v>
      </c>
      <c r="H10" s="7"/>
      <c r="I10" s="6"/>
      <c r="J10" s="6"/>
      <c r="K10" s="6"/>
      <c r="M10" s="6"/>
      <c r="N10" s="6"/>
      <c r="O10" s="6"/>
    </row>
    <row r="11" spans="1:15" x14ac:dyDescent="0.25">
      <c r="A11" s="32"/>
      <c r="B11" s="34">
        <v>17.5</v>
      </c>
      <c r="C11" s="34">
        <v>26.1</v>
      </c>
      <c r="D11" s="33">
        <v>23.7</v>
      </c>
      <c r="E11" s="33">
        <v>18.8</v>
      </c>
      <c r="F11" s="33">
        <v>28.8</v>
      </c>
      <c r="G11" s="33">
        <v>20.399999999999999</v>
      </c>
      <c r="H11" s="6"/>
      <c r="I11" s="6"/>
      <c r="J11" s="6"/>
      <c r="K11" s="6"/>
      <c r="M11" s="6"/>
      <c r="N11" s="6"/>
      <c r="O11" s="6"/>
    </row>
    <row r="12" spans="1:15" x14ac:dyDescent="0.25">
      <c r="A12" s="32"/>
      <c r="B12" s="34">
        <v>26.2</v>
      </c>
      <c r="C12" s="34">
        <v>19.5</v>
      </c>
      <c r="D12" s="33">
        <v>25.4</v>
      </c>
      <c r="E12" s="33">
        <v>24.3</v>
      </c>
      <c r="F12" s="33">
        <v>27.2</v>
      </c>
      <c r="G12" s="33">
        <v>41.9</v>
      </c>
      <c r="H12" s="6"/>
      <c r="I12" s="6"/>
      <c r="J12" s="6"/>
      <c r="K12" s="6"/>
      <c r="M12" s="6"/>
      <c r="N12" s="6"/>
      <c r="O12" s="6"/>
    </row>
    <row r="13" spans="1:15" x14ac:dyDescent="0.25">
      <c r="A13" s="32"/>
      <c r="B13" s="34">
        <v>31.1</v>
      </c>
      <c r="C13" s="34">
        <v>23.4</v>
      </c>
      <c r="D13" s="33">
        <v>21.4</v>
      </c>
      <c r="E13" s="33">
        <v>24.7</v>
      </c>
      <c r="F13" s="33">
        <v>29.1</v>
      </c>
      <c r="G13" s="33">
        <v>31.1</v>
      </c>
      <c r="H13" s="6"/>
      <c r="I13" s="6"/>
      <c r="J13" s="6"/>
      <c r="K13" s="6"/>
      <c r="M13" s="6"/>
      <c r="N13" s="6"/>
      <c r="O13" s="6"/>
    </row>
    <row r="14" spans="1:15" x14ac:dyDescent="0.25">
      <c r="A14" s="32"/>
      <c r="B14" s="34">
        <v>34.1</v>
      </c>
      <c r="C14" s="34">
        <v>20.100000000000001</v>
      </c>
      <c r="D14" s="33">
        <v>20.5</v>
      </c>
      <c r="E14" s="33">
        <v>24.2</v>
      </c>
      <c r="F14" s="33">
        <v>36.6</v>
      </c>
      <c r="G14" s="33">
        <v>35.6</v>
      </c>
      <c r="H14" s="6"/>
      <c r="I14" s="6"/>
      <c r="J14" s="6"/>
      <c r="K14" s="6"/>
      <c r="M14" s="6"/>
      <c r="N14" s="6"/>
      <c r="O14" s="6"/>
    </row>
    <row r="15" spans="1:15" x14ac:dyDescent="0.25">
      <c r="A15" s="32"/>
      <c r="B15" s="34">
        <v>31.2</v>
      </c>
      <c r="C15" s="34">
        <v>19.399999999999999</v>
      </c>
      <c r="D15" s="33">
        <v>20.5</v>
      </c>
      <c r="E15" s="33">
        <v>21.4</v>
      </c>
      <c r="F15" s="33">
        <v>36.200000000000003</v>
      </c>
      <c r="G15" s="33">
        <v>34.200000000000003</v>
      </c>
      <c r="H15" s="6"/>
      <c r="I15" s="41" t="s">
        <v>33</v>
      </c>
      <c r="J15" s="40">
        <v>7</v>
      </c>
      <c r="K15" s="6"/>
      <c r="M15" s="6"/>
      <c r="N15" s="6"/>
      <c r="O15" s="6"/>
    </row>
    <row r="16" spans="1:15" x14ac:dyDescent="0.25">
      <c r="A16" s="32"/>
      <c r="B16" s="34">
        <v>23</v>
      </c>
      <c r="C16" s="34">
        <v>19</v>
      </c>
      <c r="D16" s="33">
        <v>18.8</v>
      </c>
      <c r="E16" s="33">
        <v>18.899999999999999</v>
      </c>
      <c r="F16" s="33">
        <v>30.1</v>
      </c>
      <c r="G16" s="33">
        <v>22.8</v>
      </c>
      <c r="H16" s="6"/>
      <c r="I16" s="41" t="s">
        <v>32</v>
      </c>
      <c r="J16" s="40">
        <v>29.9</v>
      </c>
      <c r="K16" s="6"/>
      <c r="M16" s="6"/>
      <c r="N16" s="6"/>
      <c r="O16" s="6"/>
    </row>
    <row r="17" spans="1:15" x14ac:dyDescent="0.25">
      <c r="A17" s="32"/>
      <c r="B17" s="34">
        <v>42.2</v>
      </c>
      <c r="C17" s="34">
        <v>19.399999999999999</v>
      </c>
      <c r="D17" s="33">
        <v>23.9</v>
      </c>
      <c r="E17" s="33">
        <v>17.5</v>
      </c>
      <c r="F17" s="33">
        <v>35.299999999999997</v>
      </c>
      <c r="G17" s="33">
        <v>40.799999999999997</v>
      </c>
      <c r="H17" s="6"/>
      <c r="I17" s="41" t="s">
        <v>34</v>
      </c>
      <c r="J17" s="40">
        <v>4.3</v>
      </c>
      <c r="K17" s="6"/>
      <c r="M17" s="6"/>
      <c r="N17" s="6"/>
      <c r="O17" s="6"/>
    </row>
    <row r="18" spans="1:15" x14ac:dyDescent="0.25">
      <c r="H18" s="6"/>
      <c r="I18" s="6"/>
      <c r="J18" s="6"/>
      <c r="K18" s="6"/>
      <c r="M18" s="6"/>
      <c r="N18" s="6"/>
      <c r="O18" s="6"/>
    </row>
    <row r="19" spans="1:15" x14ac:dyDescent="0.25">
      <c r="B19" s="111" t="s">
        <v>23</v>
      </c>
      <c r="C19" s="111"/>
      <c r="E19" s="112" t="s">
        <v>24</v>
      </c>
      <c r="F19" s="112"/>
      <c r="H19" s="6"/>
      <c r="I19" s="54"/>
      <c r="J19" s="39"/>
      <c r="M19" s="6"/>
      <c r="N19" s="6"/>
      <c r="O19" s="6"/>
    </row>
    <row r="20" spans="1:15" x14ac:dyDescent="0.25">
      <c r="B20" s="48">
        <f>SMALL($B$8:$G$17,ROWS($B20:B$20))</f>
        <v>17.3</v>
      </c>
      <c r="E20" s="37" t="s">
        <v>25</v>
      </c>
      <c r="F20" s="38">
        <f>ROUND(1+(3.3*LOG(60)),0)</f>
        <v>7</v>
      </c>
      <c r="H20" s="6"/>
      <c r="M20" s="6"/>
      <c r="N20" s="6"/>
      <c r="O20" s="6"/>
    </row>
    <row r="21" spans="1:15" x14ac:dyDescent="0.25">
      <c r="B21" s="48">
        <f>SMALL($B$8:$G$17,ROWS($B$20:B21))</f>
        <v>17.5</v>
      </c>
      <c r="E21" s="83"/>
      <c r="H21" s="6"/>
      <c r="M21" s="6"/>
      <c r="N21" s="6"/>
      <c r="O21" s="6"/>
    </row>
    <row r="22" spans="1:15" x14ac:dyDescent="0.25">
      <c r="B22" s="48">
        <f>SMALL($B$8:$G$17,ROWS($B$20:B22))</f>
        <v>17.5</v>
      </c>
      <c r="E22" s="113" t="s">
        <v>60</v>
      </c>
      <c r="F22" s="114"/>
      <c r="G22" s="115"/>
      <c r="H22" s="6"/>
      <c r="M22" s="6"/>
      <c r="N22" s="6"/>
      <c r="O22" s="6"/>
    </row>
    <row r="23" spans="1:15" x14ac:dyDescent="0.25">
      <c r="B23" s="48">
        <f>SMALL($B$8:$G$17,ROWS($B$20:B23))</f>
        <v>17.5</v>
      </c>
      <c r="E23" s="35">
        <f>MAX(B8:G17)</f>
        <v>47.1</v>
      </c>
      <c r="F23" s="35">
        <f>MIN(B8:G17)</f>
        <v>17.3</v>
      </c>
      <c r="G23" s="38">
        <f>E23-F23</f>
        <v>29.8</v>
      </c>
      <c r="H23" s="6"/>
      <c r="M23" s="6"/>
      <c r="N23" s="6"/>
      <c r="O23" s="6"/>
    </row>
    <row r="24" spans="1:15" x14ac:dyDescent="0.25">
      <c r="B24" s="48">
        <f>SMALL($B$8:$G$17,ROWS($B$20:B24))</f>
        <v>17.5</v>
      </c>
      <c r="H24" s="6"/>
      <c r="M24" s="6"/>
      <c r="N24" s="6"/>
      <c r="O24" s="6"/>
    </row>
    <row r="25" spans="1:15" x14ac:dyDescent="0.25">
      <c r="B25" s="48">
        <f>SMALL($B$8:$G$17,ROWS($B$20:B25))</f>
        <v>18.8</v>
      </c>
      <c r="E25" s="112" t="s">
        <v>26</v>
      </c>
      <c r="F25" s="112"/>
      <c r="H25" s="6"/>
      <c r="M25" s="6"/>
      <c r="N25" s="6"/>
      <c r="O25" s="6"/>
    </row>
    <row r="26" spans="1:15" x14ac:dyDescent="0.25">
      <c r="B26" s="48">
        <f>SMALL($B$8:$G$17,ROWS($B$20:B26))</f>
        <v>18.8</v>
      </c>
      <c r="E26" s="37" t="s">
        <v>27</v>
      </c>
      <c r="F26" s="38">
        <f>G23/F20</f>
        <v>4.2571428571428571</v>
      </c>
    </row>
    <row r="27" spans="1:15" x14ac:dyDescent="0.25">
      <c r="B27" s="48">
        <f>SMALL($B$8:$G$17,ROWS($B$20:B27))</f>
        <v>18.8</v>
      </c>
    </row>
    <row r="28" spans="1:15" x14ac:dyDescent="0.25">
      <c r="B28" s="48">
        <f>SMALL($B$8:$G$17,ROWS($B$20:B28))</f>
        <v>18.899999999999999</v>
      </c>
      <c r="D28" s="112" t="s">
        <v>35</v>
      </c>
      <c r="E28" s="112"/>
      <c r="F28" s="112"/>
    </row>
    <row r="29" spans="1:15" x14ac:dyDescent="0.25">
      <c r="B29" s="48">
        <f>SMALL($B$8:$G$17,ROWS($B$20:B29))</f>
        <v>19</v>
      </c>
      <c r="D29" s="118" t="s">
        <v>28</v>
      </c>
      <c r="E29" s="116" t="s">
        <v>36</v>
      </c>
      <c r="F29" s="116"/>
      <c r="G29" s="117" t="s">
        <v>40</v>
      </c>
      <c r="H29" s="117" t="s">
        <v>41</v>
      </c>
      <c r="I29" s="119" t="s">
        <v>39</v>
      </c>
      <c r="J29" s="102" t="s">
        <v>58</v>
      </c>
      <c r="K29" s="103"/>
      <c r="L29" s="97" t="s">
        <v>37</v>
      </c>
      <c r="N29" s="97" t="s">
        <v>77</v>
      </c>
    </row>
    <row r="30" spans="1:15" x14ac:dyDescent="0.25">
      <c r="B30" s="48">
        <f>SMALL($B$8:$G$17,ROWS($B$20:B30))</f>
        <v>19</v>
      </c>
      <c r="D30" s="118"/>
      <c r="E30" s="42" t="s">
        <v>29</v>
      </c>
      <c r="F30" s="42" t="s">
        <v>30</v>
      </c>
      <c r="G30" s="117"/>
      <c r="H30" s="117"/>
      <c r="I30" s="119"/>
      <c r="J30" s="104"/>
      <c r="K30" s="105"/>
      <c r="L30" s="97"/>
      <c r="N30" s="97"/>
    </row>
    <row r="31" spans="1:15" x14ac:dyDescent="0.25">
      <c r="B31" s="48">
        <f>SMALL($B$8:$G$17,ROWS($B$20:B31))</f>
        <v>19.399999999999999</v>
      </c>
      <c r="D31" s="70">
        <v>1</v>
      </c>
      <c r="E31" s="71">
        <f>B20</f>
        <v>17.3</v>
      </c>
      <c r="F31" s="71">
        <f>E31+J17</f>
        <v>21.6</v>
      </c>
      <c r="G31" s="72">
        <f>COUNTIFS($B$20:$B$79,"&gt;="&amp;E31,$B$20:$B$79,"&lt;"&amp;F31)</f>
        <v>22</v>
      </c>
      <c r="H31" s="73">
        <f>(E31+F31)/2</f>
        <v>19.450000000000003</v>
      </c>
      <c r="I31" s="74">
        <f>G31*H31</f>
        <v>427.90000000000009</v>
      </c>
      <c r="J31" s="106">
        <f>G31* (H31-$G41)^2</f>
        <v>998.41891111111056</v>
      </c>
      <c r="K31" s="107"/>
      <c r="L31" s="75">
        <f>G31</f>
        <v>22</v>
      </c>
      <c r="N31" s="37" t="str">
        <f>CONCATENATE(E31," - ",F31)</f>
        <v>17.3 - 21.6</v>
      </c>
    </row>
    <row r="32" spans="1:15" x14ac:dyDescent="0.25">
      <c r="B32" s="48">
        <f>SMALL($B$8:$G$17,ROWS($B$20:B32))</f>
        <v>19.399999999999999</v>
      </c>
      <c r="D32" s="43">
        <v>2</v>
      </c>
      <c r="E32" s="44">
        <f t="shared" ref="E32:E37" si="0">F31</f>
        <v>21.6</v>
      </c>
      <c r="F32" s="46">
        <f>E32+J17</f>
        <v>25.900000000000002</v>
      </c>
      <c r="G32" s="45">
        <f t="shared" ref="G32:G37" si="1">COUNTIFS($B$20:$B$79,"&gt;="&amp;E32,$B$20:$B$79,"&lt;"&amp;F32)</f>
        <v>14</v>
      </c>
      <c r="H32" s="47">
        <f t="shared" ref="H32:H37" si="2">(E32+F32)/2</f>
        <v>23.75</v>
      </c>
      <c r="I32" s="49">
        <f t="shared" ref="I32:I37" si="3">G32*H32</f>
        <v>332.5</v>
      </c>
      <c r="J32" s="99">
        <f xml:space="preserve"> (H32-$G$41)^2*G32</f>
        <v>83.122822222222268</v>
      </c>
      <c r="K32" s="100"/>
      <c r="L32" s="55">
        <f t="shared" ref="L32:L37" si="4">L31+G32</f>
        <v>36</v>
      </c>
      <c r="N32" s="37" t="str">
        <f t="shared" ref="N32:N37" si="5">CONCATENATE(E32," - ",F32)</f>
        <v>21.6 - 25.9</v>
      </c>
    </row>
    <row r="33" spans="2:14" x14ac:dyDescent="0.25">
      <c r="B33" s="48">
        <f>SMALL($B$8:$G$17,ROWS($B$20:B33))</f>
        <v>19.5</v>
      </c>
      <c r="D33" s="43">
        <v>3</v>
      </c>
      <c r="E33" s="44">
        <f t="shared" si="0"/>
        <v>25.900000000000002</v>
      </c>
      <c r="F33" s="44">
        <f>E33+J17</f>
        <v>30.200000000000003</v>
      </c>
      <c r="G33" s="45">
        <f t="shared" si="1"/>
        <v>9</v>
      </c>
      <c r="H33" s="47">
        <f t="shared" si="2"/>
        <v>28.050000000000004</v>
      </c>
      <c r="I33" s="49">
        <f t="shared" si="3"/>
        <v>252.45000000000005</v>
      </c>
      <c r="J33" s="99">
        <f t="shared" ref="J33:J37" si="6" xml:space="preserve"> (H33-$G$41)^2*G33</f>
        <v>31.248100000000115</v>
      </c>
      <c r="K33" s="100"/>
      <c r="L33" s="55">
        <f>L32+G33</f>
        <v>45</v>
      </c>
      <c r="N33" s="37" t="str">
        <f t="shared" si="5"/>
        <v>25.9 - 30.2</v>
      </c>
    </row>
    <row r="34" spans="2:14" x14ac:dyDescent="0.25">
      <c r="B34" s="48">
        <f>SMALL($B$8:$G$17,ROWS($B$20:B34))</f>
        <v>19.5</v>
      </c>
      <c r="D34" s="56">
        <v>4</v>
      </c>
      <c r="E34" s="57">
        <f t="shared" si="0"/>
        <v>30.200000000000003</v>
      </c>
      <c r="F34" s="57">
        <f>E34+J17</f>
        <v>34.5</v>
      </c>
      <c r="G34" s="58">
        <f t="shared" si="1"/>
        <v>5</v>
      </c>
      <c r="H34" s="59">
        <f t="shared" si="2"/>
        <v>32.35</v>
      </c>
      <c r="I34" s="60">
        <f t="shared" si="3"/>
        <v>161.75</v>
      </c>
      <c r="J34" s="108">
        <f t="shared" si="6"/>
        <v>189.93338888888894</v>
      </c>
      <c r="K34" s="109"/>
      <c r="L34" s="61">
        <f t="shared" si="4"/>
        <v>50</v>
      </c>
      <c r="N34" s="37" t="str">
        <f t="shared" si="5"/>
        <v>30.2 - 34.5</v>
      </c>
    </row>
    <row r="35" spans="2:14" x14ac:dyDescent="0.25">
      <c r="B35" s="48">
        <f>SMALL($B$8:$G$17,ROWS($B$20:B35))</f>
        <v>20.100000000000001</v>
      </c>
      <c r="D35" s="43">
        <v>5</v>
      </c>
      <c r="E35" s="44">
        <f t="shared" si="0"/>
        <v>34.5</v>
      </c>
      <c r="F35" s="44">
        <f>E35+J17</f>
        <v>38.799999999999997</v>
      </c>
      <c r="G35" s="45">
        <f t="shared" si="1"/>
        <v>5</v>
      </c>
      <c r="H35" s="47">
        <f t="shared" si="2"/>
        <v>36.65</v>
      </c>
      <c r="I35" s="49">
        <f>G35*H35</f>
        <v>183.25</v>
      </c>
      <c r="J35" s="99">
        <f t="shared" si="6"/>
        <v>547.40672222222202</v>
      </c>
      <c r="K35" s="100"/>
      <c r="L35" s="55">
        <f t="shared" si="4"/>
        <v>55</v>
      </c>
      <c r="N35" s="37" t="str">
        <f t="shared" si="5"/>
        <v>34.5 - 38.8</v>
      </c>
    </row>
    <row r="36" spans="2:14" x14ac:dyDescent="0.25">
      <c r="B36" s="48">
        <f>SMALL($B$8:$G$17,ROWS($B$20:B36))</f>
        <v>20.399999999999999</v>
      </c>
      <c r="D36" s="43">
        <v>6</v>
      </c>
      <c r="E36" s="44">
        <f t="shared" si="0"/>
        <v>38.799999999999997</v>
      </c>
      <c r="F36" s="44">
        <f>E36+J17</f>
        <v>43.099999999999994</v>
      </c>
      <c r="G36" s="45">
        <f t="shared" si="1"/>
        <v>3</v>
      </c>
      <c r="H36" s="47">
        <f t="shared" si="2"/>
        <v>40.949999999999996</v>
      </c>
      <c r="I36" s="49">
        <f t="shared" si="3"/>
        <v>122.85</v>
      </c>
      <c r="J36" s="99">
        <f t="shared" si="6"/>
        <v>653.86803333333296</v>
      </c>
      <c r="K36" s="100"/>
      <c r="L36" s="55">
        <f t="shared" si="4"/>
        <v>58</v>
      </c>
      <c r="N36" s="37" t="str">
        <f t="shared" si="5"/>
        <v>38.8 - 43.1</v>
      </c>
    </row>
    <row r="37" spans="2:14" x14ac:dyDescent="0.25">
      <c r="B37" s="48">
        <f>SMALL($B$8:$G$17,ROWS($B$20:B37))</f>
        <v>20.5</v>
      </c>
      <c r="D37" s="43">
        <v>7</v>
      </c>
      <c r="E37" s="44">
        <f t="shared" si="0"/>
        <v>43.099999999999994</v>
      </c>
      <c r="F37" s="44">
        <f>E37+J17</f>
        <v>47.399999999999991</v>
      </c>
      <c r="G37" s="45">
        <f t="shared" si="1"/>
        <v>2</v>
      </c>
      <c r="H37" s="47">
        <f t="shared" si="2"/>
        <v>45.249999999999993</v>
      </c>
      <c r="I37" s="49">
        <f t="shared" si="3"/>
        <v>90.499999999999986</v>
      </c>
      <c r="J37" s="99">
        <f t="shared" si="6"/>
        <v>726.82135555555499</v>
      </c>
      <c r="K37" s="100"/>
      <c r="L37" s="55">
        <f t="shared" si="4"/>
        <v>60</v>
      </c>
      <c r="N37" s="37" t="str">
        <f t="shared" si="5"/>
        <v>43.1 - 47.4</v>
      </c>
    </row>
    <row r="38" spans="2:14" x14ac:dyDescent="0.25">
      <c r="B38" s="48">
        <f>SMALL($B$8:$G$17,ROWS($B$20:B38))</f>
        <v>20.5</v>
      </c>
      <c r="D38" s="51"/>
      <c r="E38" s="51"/>
      <c r="F38" s="51"/>
      <c r="G38" s="52">
        <f>SUM(G31:G37)</f>
        <v>60</v>
      </c>
      <c r="H38" s="51"/>
      <c r="I38" s="50">
        <f>SUM(I31:I37)</f>
        <v>1571.2</v>
      </c>
      <c r="J38" s="101">
        <f>SUM(J31:K37)</f>
        <v>3230.8193333333315</v>
      </c>
      <c r="K38" s="101"/>
    </row>
    <row r="39" spans="2:14" x14ac:dyDescent="0.25">
      <c r="B39" s="48">
        <f>SMALL($B$8:$G$17,ROWS($B$20:B39))</f>
        <v>21</v>
      </c>
    </row>
    <row r="40" spans="2:14" x14ac:dyDescent="0.25">
      <c r="B40" s="48">
        <f>SMALL($B$8:$G$17,ROWS($B$20:B40))</f>
        <v>21.4</v>
      </c>
      <c r="E40" s="49" t="s">
        <v>42</v>
      </c>
      <c r="F40" s="49" t="s">
        <v>43</v>
      </c>
    </row>
    <row r="41" spans="2:14" ht="16.5" customHeight="1" x14ac:dyDescent="0.25">
      <c r="B41" s="48">
        <f>SMALL($B$8:$G$17,ROWS($B$20:B41))</f>
        <v>21.4</v>
      </c>
      <c r="D41" s="81" t="s">
        <v>38</v>
      </c>
      <c r="E41" s="53">
        <f>I38</f>
        <v>1571.2</v>
      </c>
      <c r="F41" s="53">
        <v>60</v>
      </c>
      <c r="G41" s="65">
        <f>E41/F41</f>
        <v>26.186666666666667</v>
      </c>
      <c r="H41" s="51"/>
      <c r="I41" s="82" t="s">
        <v>46</v>
      </c>
      <c r="J41" s="63">
        <f>(((I43+1)/2-(J43+1))/K43)*L43+M43</f>
        <v>16.870000000000005</v>
      </c>
    </row>
    <row r="42" spans="2:14" x14ac:dyDescent="0.25">
      <c r="B42" s="48">
        <f>SMALL($B$8:$G$17,ROWS($B$20:B42))</f>
        <v>22.8</v>
      </c>
      <c r="I42" s="66" t="s">
        <v>47</v>
      </c>
      <c r="J42" s="66" t="s">
        <v>31</v>
      </c>
      <c r="K42" s="66" t="s">
        <v>48</v>
      </c>
      <c r="L42" s="66" t="s">
        <v>49</v>
      </c>
      <c r="M42" s="66" t="s">
        <v>50</v>
      </c>
    </row>
    <row r="43" spans="2:14" x14ac:dyDescent="0.25">
      <c r="B43" s="48">
        <f>SMALL($B$8:$G$17,ROWS($B$20:B43))</f>
        <v>22.9</v>
      </c>
      <c r="D43" s="62" t="s">
        <v>44</v>
      </c>
      <c r="E43" s="53">
        <f>J38</f>
        <v>3230.8193333333315</v>
      </c>
      <c r="F43" s="53">
        <f>F41-1</f>
        <v>59</v>
      </c>
      <c r="G43" s="63">
        <f>E43/F43</f>
        <v>54.759649717514094</v>
      </c>
      <c r="I43" s="55">
        <f>COUNT(B8:G17)</f>
        <v>60</v>
      </c>
      <c r="J43" s="55">
        <f>SUM(G31:G33)</f>
        <v>45</v>
      </c>
      <c r="K43" s="55">
        <f>G34</f>
        <v>5</v>
      </c>
      <c r="L43" s="53">
        <f>J17</f>
        <v>4.3</v>
      </c>
      <c r="M43" s="53">
        <f>E34</f>
        <v>30.200000000000003</v>
      </c>
    </row>
    <row r="44" spans="2:14" x14ac:dyDescent="0.25">
      <c r="B44" s="48">
        <f>SMALL($B$8:$G$17,ROWS($B$20:B44))</f>
        <v>23</v>
      </c>
    </row>
    <row r="45" spans="2:14" x14ac:dyDescent="0.25">
      <c r="B45" s="48">
        <f>SMALL($B$8:$G$17,ROWS($B$20:B45))</f>
        <v>23.4</v>
      </c>
      <c r="D45" s="64" t="s">
        <v>45</v>
      </c>
      <c r="E45" s="53">
        <f>E43</f>
        <v>3230.8193333333315</v>
      </c>
      <c r="F45" s="53">
        <f>F43</f>
        <v>59</v>
      </c>
      <c r="G45" s="63">
        <f>SQRT(E45/F45)</f>
        <v>7.3999763322266165</v>
      </c>
      <c r="I45" s="62" t="s">
        <v>53</v>
      </c>
      <c r="J45" s="63">
        <f>I47+(J47/(J47+K47))*L47</f>
        <v>18.446666666666665</v>
      </c>
      <c r="K45" s="51"/>
      <c r="L45" s="51"/>
    </row>
    <row r="46" spans="2:14" x14ac:dyDescent="0.25">
      <c r="B46" s="48">
        <f>SMALL($B$8:$G$17,ROWS($B$20:B46))</f>
        <v>23.4</v>
      </c>
      <c r="I46" s="76" t="s">
        <v>50</v>
      </c>
      <c r="J46" s="76" t="s">
        <v>51</v>
      </c>
      <c r="K46" s="76" t="s">
        <v>52</v>
      </c>
      <c r="L46" s="76" t="s">
        <v>49</v>
      </c>
      <c r="M46" s="67"/>
    </row>
    <row r="47" spans="2:14" x14ac:dyDescent="0.25">
      <c r="B47" s="48">
        <f>SMALL($B$8:$G$17,ROWS($B$20:B47))</f>
        <v>23.7</v>
      </c>
      <c r="I47" s="53">
        <f>E31</f>
        <v>17.3</v>
      </c>
      <c r="J47" s="55">
        <f>G31-G32</f>
        <v>8</v>
      </c>
      <c r="K47" s="55">
        <f>G31-0</f>
        <v>22</v>
      </c>
      <c r="L47" s="53">
        <f>J17</f>
        <v>4.3</v>
      </c>
      <c r="M47" s="68"/>
    </row>
    <row r="48" spans="2:14" x14ac:dyDescent="0.25">
      <c r="B48" s="48">
        <f>SMALL($B$8:$G$17,ROWS($B$20:B48))</f>
        <v>23.7</v>
      </c>
    </row>
    <row r="49" spans="2:30" x14ac:dyDescent="0.25">
      <c r="B49" s="48">
        <f>SMALL($B$8:$G$17,ROWS($B$20:B49))</f>
        <v>23.7</v>
      </c>
    </row>
    <row r="50" spans="2:30" x14ac:dyDescent="0.25">
      <c r="B50" s="48">
        <f>SMALL($B$8:$G$17,ROWS($B$20:B50))</f>
        <v>23.9</v>
      </c>
    </row>
    <row r="51" spans="2:30" x14ac:dyDescent="0.25">
      <c r="B51" s="48">
        <f>SMALL($B$8:$G$17,ROWS($B$20:B51))</f>
        <v>24.2</v>
      </c>
      <c r="D51" s="77"/>
      <c r="E51" s="78"/>
      <c r="F51" s="78"/>
      <c r="G51" s="78"/>
      <c r="H51" s="79"/>
    </row>
    <row r="52" spans="2:30" x14ac:dyDescent="0.25">
      <c r="B52" s="48">
        <f>SMALL($B$8:$G$17,ROWS($B$20:B52))</f>
        <v>24.3</v>
      </c>
    </row>
    <row r="53" spans="2:30" x14ac:dyDescent="0.25">
      <c r="B53" s="48">
        <f>SMALL($B$8:$G$17,ROWS($B$20:B53))</f>
        <v>24.7</v>
      </c>
    </row>
    <row r="54" spans="2:30" x14ac:dyDescent="0.25">
      <c r="B54" s="48">
        <f>SMALL($B$8:$G$17,ROWS($B$20:B54))</f>
        <v>24.7</v>
      </c>
      <c r="X54" s="120" t="s">
        <v>68</v>
      </c>
      <c r="Y54" s="121"/>
      <c r="Z54" s="121"/>
      <c r="AA54" s="122"/>
      <c r="AC54" s="91" t="s">
        <v>66</v>
      </c>
      <c r="AD54" s="91" t="s">
        <v>67</v>
      </c>
    </row>
    <row r="55" spans="2:30" x14ac:dyDescent="0.25">
      <c r="B55" s="48">
        <f>SMALL($B$8:$G$17,ROWS($B$20:B55))</f>
        <v>25.4</v>
      </c>
      <c r="X55" s="93" t="s">
        <v>61</v>
      </c>
      <c r="Y55" s="123">
        <f>$G$41</f>
        <v>26.186666666666667</v>
      </c>
      <c r="Z55" s="124"/>
      <c r="AA55" s="125"/>
      <c r="AC55" s="89">
        <f>ROUND(_xlfn.NORM.DIST(Y57,Y55,Y56,TRUE),4)</f>
        <v>0.43630000000000002</v>
      </c>
      <c r="AD55" s="94">
        <f>ROUND(AC55*60,0)</f>
        <v>26</v>
      </c>
    </row>
    <row r="56" spans="2:30" x14ac:dyDescent="0.25">
      <c r="B56" s="48">
        <f>SMALL($B$8:$G$17,ROWS($B$20:B56))</f>
        <v>26.1</v>
      </c>
      <c r="X56" s="93" t="s">
        <v>62</v>
      </c>
      <c r="Y56" s="123">
        <f>$G$45</f>
        <v>7.3999763322266165</v>
      </c>
      <c r="Z56" s="124"/>
      <c r="AA56" s="125"/>
      <c r="AC56" s="90">
        <f>AC55*100</f>
        <v>43.63</v>
      </c>
      <c r="AD56" s="89"/>
    </row>
    <row r="57" spans="2:30" x14ac:dyDescent="0.25">
      <c r="B57" s="48">
        <f>SMALL($B$8:$G$17,ROWS($B$20:B57))</f>
        <v>26.2</v>
      </c>
      <c r="X57" s="93" t="s">
        <v>63</v>
      </c>
      <c r="Y57" s="126">
        <v>25</v>
      </c>
      <c r="Z57" s="127"/>
      <c r="AA57" s="128"/>
    </row>
    <row r="58" spans="2:30" x14ac:dyDescent="0.25">
      <c r="B58" s="48">
        <f>SMALL($B$8:$G$17,ROWS($B$20:B58))</f>
        <v>26.6</v>
      </c>
      <c r="T58">
        <f>ROUND(AD59*60,0)</f>
        <v>24</v>
      </c>
      <c r="X58" s="129" t="s">
        <v>69</v>
      </c>
      <c r="Y58" s="129"/>
      <c r="Z58" s="129"/>
      <c r="AA58" s="129"/>
      <c r="AD58">
        <f>(Y57-Y55)/Y56</f>
        <v>-0.16036087325019935</v>
      </c>
    </row>
    <row r="59" spans="2:30" x14ac:dyDescent="0.25">
      <c r="B59" s="48">
        <f>SMALL($B$8:$G$17,ROWS($B$20:B59))</f>
        <v>27</v>
      </c>
      <c r="U59" s="111" t="s">
        <v>70</v>
      </c>
      <c r="V59" s="111"/>
      <c r="AD59" s="88">
        <f>_xlfn.NORM.S.DIST(AD58,FALSE)</f>
        <v>0.39384559473099701</v>
      </c>
    </row>
    <row r="60" spans="2:30" x14ac:dyDescent="0.25">
      <c r="B60" s="48">
        <f>SMALL($B$8:$G$17,ROWS($B$20:B60))</f>
        <v>27.2</v>
      </c>
      <c r="U60" s="92" t="s">
        <v>64</v>
      </c>
      <c r="V60" s="92" t="s">
        <v>65</v>
      </c>
      <c r="AA60" s="87"/>
      <c r="AD60" s="87">
        <f>AD59*100</f>
        <v>39.384559473099699</v>
      </c>
    </row>
    <row r="61" spans="2:30" x14ac:dyDescent="0.25">
      <c r="B61" s="48">
        <f>SMALL($B$8:$G$17,ROWS($B$20:B61))</f>
        <v>28.8</v>
      </c>
      <c r="U61" s="34">
        <v>17.3</v>
      </c>
      <c r="V61" s="95">
        <f>_xlfn.NORM.DIST(U61,$Y$55,$Y$56,FALSE)</f>
        <v>2.6212957365955827E-2</v>
      </c>
    </row>
    <row r="62" spans="2:30" x14ac:dyDescent="0.25">
      <c r="B62" s="48">
        <f>SMALL($B$8:$G$17,ROWS($B$20:B62))</f>
        <v>29.1</v>
      </c>
      <c r="U62" s="34">
        <v>17.5</v>
      </c>
      <c r="V62" s="95">
        <f t="shared" ref="V62:V104" si="7">_xlfn.NORM.DIST(U62,$Y$55,$Y$56,FALSE)</f>
        <v>2.7067820875082711E-2</v>
      </c>
    </row>
    <row r="63" spans="2:30" x14ac:dyDescent="0.25">
      <c r="B63" s="48">
        <f>SMALL($B$8:$G$17,ROWS($B$20:B63))</f>
        <v>30.1</v>
      </c>
      <c r="U63" s="33">
        <v>18.8</v>
      </c>
      <c r="V63" s="95">
        <f t="shared" si="7"/>
        <v>3.2757663530194846E-2</v>
      </c>
    </row>
    <row r="64" spans="2:30" x14ac:dyDescent="0.25">
      <c r="B64" s="48">
        <f>SMALL($B$8:$G$17,ROWS($B$20:B64))</f>
        <v>30.1</v>
      </c>
      <c r="U64" s="33">
        <v>18.899999999999999</v>
      </c>
      <c r="V64" s="95">
        <f t="shared" si="7"/>
        <v>3.3199502094238602E-2</v>
      </c>
    </row>
    <row r="65" spans="2:22" x14ac:dyDescent="0.25">
      <c r="B65" s="48">
        <f>SMALL($B$8:$G$17,ROWS($B$20:B65))</f>
        <v>31.1</v>
      </c>
      <c r="U65" s="34">
        <v>19</v>
      </c>
      <c r="V65" s="95">
        <f t="shared" si="7"/>
        <v>3.3641156238354286E-2</v>
      </c>
    </row>
    <row r="66" spans="2:22" x14ac:dyDescent="0.25">
      <c r="B66" s="48">
        <f>SMALL($B$8:$G$17,ROWS($B$20:B66))</f>
        <v>31.1</v>
      </c>
      <c r="U66" s="33">
        <v>19</v>
      </c>
      <c r="V66" s="95">
        <f t="shared" si="7"/>
        <v>3.3641156238354286E-2</v>
      </c>
    </row>
    <row r="67" spans="2:22" x14ac:dyDescent="0.25">
      <c r="B67" s="48">
        <f>SMALL($B$8:$G$17,ROWS($B$20:B67))</f>
        <v>31.2</v>
      </c>
      <c r="U67" s="34">
        <v>19.399999999999999</v>
      </c>
      <c r="V67" s="95">
        <f t="shared" si="7"/>
        <v>3.5402603070816822E-2</v>
      </c>
    </row>
    <row r="68" spans="2:22" x14ac:dyDescent="0.25">
      <c r="B68" s="48">
        <f>SMALL($B$8:$G$17,ROWS($B$20:B68))</f>
        <v>34.1</v>
      </c>
      <c r="U68" s="34">
        <v>19.5</v>
      </c>
      <c r="V68" s="95">
        <f t="shared" si="7"/>
        <v>3.5840824620829374E-2</v>
      </c>
    </row>
    <row r="69" spans="2:22" x14ac:dyDescent="0.25">
      <c r="B69" s="48">
        <f>SMALL($B$8:$G$17,ROWS($B$20:B69))</f>
        <v>34.200000000000003</v>
      </c>
      <c r="U69" s="34">
        <v>20.100000000000001</v>
      </c>
      <c r="V69" s="95">
        <f t="shared" si="7"/>
        <v>3.8438752486891554E-2</v>
      </c>
    </row>
    <row r="70" spans="2:22" x14ac:dyDescent="0.25">
      <c r="B70" s="48">
        <f>SMALL($B$8:$G$17,ROWS($B$20:B70))</f>
        <v>35.299999999999997</v>
      </c>
      <c r="U70" s="33">
        <v>20.399999999999999</v>
      </c>
      <c r="V70" s="95">
        <f t="shared" si="7"/>
        <v>3.9709485080557903E-2</v>
      </c>
    </row>
    <row r="71" spans="2:22" x14ac:dyDescent="0.25">
      <c r="B71" s="48">
        <f>SMALL($B$8:$G$17,ROWS($B$20:B71))</f>
        <v>35.6</v>
      </c>
      <c r="U71" s="33">
        <v>20.5</v>
      </c>
      <c r="V71" s="95">
        <f t="shared" si="7"/>
        <v>4.0127671618717567E-2</v>
      </c>
    </row>
    <row r="72" spans="2:22" x14ac:dyDescent="0.25">
      <c r="B72" s="48">
        <f>SMALL($B$8:$G$17,ROWS($B$20:B72))</f>
        <v>36.200000000000003</v>
      </c>
      <c r="U72" s="34">
        <v>21</v>
      </c>
      <c r="V72" s="95">
        <f t="shared" si="7"/>
        <v>4.2169926982092876E-2</v>
      </c>
    </row>
    <row r="73" spans="2:22" x14ac:dyDescent="0.25">
      <c r="B73" s="48">
        <f>SMALL($B$8:$G$17,ROWS($B$20:B73))</f>
        <v>36.6</v>
      </c>
      <c r="U73" s="33">
        <v>21.4</v>
      </c>
      <c r="V73" s="95">
        <f t="shared" si="7"/>
        <v>4.3734321552111807E-2</v>
      </c>
    </row>
    <row r="74" spans="2:22" x14ac:dyDescent="0.25">
      <c r="B74" s="48">
        <f>SMALL($B$8:$G$17,ROWS($B$20:B74))</f>
        <v>36.6</v>
      </c>
      <c r="U74" s="33">
        <v>22.8</v>
      </c>
      <c r="V74" s="95">
        <f t="shared" si="7"/>
        <v>4.8550961953871027E-2</v>
      </c>
    </row>
    <row r="75" spans="2:22" x14ac:dyDescent="0.25">
      <c r="B75" s="48">
        <f>SMALL($B$8:$G$17,ROWS($B$20:B75))</f>
        <v>40.799999999999997</v>
      </c>
      <c r="U75" s="33">
        <v>22.9</v>
      </c>
      <c r="V75" s="95">
        <f t="shared" si="7"/>
        <v>4.8847700397423831E-2</v>
      </c>
    </row>
    <row r="76" spans="2:22" x14ac:dyDescent="0.25">
      <c r="B76" s="48">
        <f>SMALL($B$8:$G$17,ROWS($B$20:B76))</f>
        <v>41.9</v>
      </c>
      <c r="U76" s="34">
        <v>23</v>
      </c>
      <c r="V76" s="95">
        <f t="shared" si="7"/>
        <v>4.9137278392357264E-2</v>
      </c>
    </row>
    <row r="77" spans="2:22" x14ac:dyDescent="0.25">
      <c r="B77" s="48">
        <f>SMALL($B$8:$G$17,ROWS($B$20:B77))</f>
        <v>42.2</v>
      </c>
      <c r="U77" s="34">
        <v>23.4</v>
      </c>
      <c r="V77" s="95">
        <f t="shared" si="7"/>
        <v>5.0221063551242416E-2</v>
      </c>
    </row>
    <row r="78" spans="2:22" x14ac:dyDescent="0.25">
      <c r="B78" s="48">
        <f>SMALL($B$8:$G$17,ROWS($B$20:B78))</f>
        <v>44.4</v>
      </c>
      <c r="U78" s="33">
        <v>23.7</v>
      </c>
      <c r="V78" s="95">
        <f t="shared" si="7"/>
        <v>5.0951768726028038E-2</v>
      </c>
    </row>
    <row r="79" spans="2:22" x14ac:dyDescent="0.25">
      <c r="B79" s="48">
        <f>SMALL($B$8:$G$17,ROWS($B$20:B79))</f>
        <v>47.1</v>
      </c>
      <c r="U79" s="33">
        <v>23.9</v>
      </c>
      <c r="V79" s="95">
        <f t="shared" si="7"/>
        <v>5.1397850611769769E-2</v>
      </c>
    </row>
    <row r="80" spans="2:22" x14ac:dyDescent="0.25">
      <c r="U80" s="33">
        <v>24.2</v>
      </c>
      <c r="V80" s="95">
        <f t="shared" si="7"/>
        <v>5.200303353629232E-2</v>
      </c>
    </row>
    <row r="81" spans="2:27" x14ac:dyDescent="0.25">
      <c r="B81" s="6"/>
      <c r="U81" s="33">
        <v>24.3</v>
      </c>
      <c r="V81" s="95">
        <f t="shared" si="7"/>
        <v>5.2187276579580576E-2</v>
      </c>
    </row>
    <row r="82" spans="2:27" x14ac:dyDescent="0.25">
      <c r="B82" s="6"/>
      <c r="U82" s="33">
        <v>24.7</v>
      </c>
      <c r="V82" s="95">
        <f t="shared" si="7"/>
        <v>5.2834227502266448E-2</v>
      </c>
    </row>
    <row r="83" spans="2:27" x14ac:dyDescent="0.25">
      <c r="U83" s="33">
        <v>25.4</v>
      </c>
      <c r="V83" s="95">
        <f t="shared" si="7"/>
        <v>5.3607521911207871E-2</v>
      </c>
    </row>
    <row r="84" spans="2:27" x14ac:dyDescent="0.25">
      <c r="U84" s="34">
        <v>26.1</v>
      </c>
      <c r="V84" s="95">
        <f t="shared" si="7"/>
        <v>5.3907594154016934E-2</v>
      </c>
    </row>
    <row r="85" spans="2:27" x14ac:dyDescent="0.25">
      <c r="U85" s="34">
        <v>26.2</v>
      </c>
      <c r="V85" s="95">
        <f t="shared" si="7"/>
        <v>5.3911203888508605E-2</v>
      </c>
    </row>
    <row r="86" spans="2:27" x14ac:dyDescent="0.25">
      <c r="U86" s="33">
        <v>26.6</v>
      </c>
      <c r="V86" s="95">
        <f t="shared" si="7"/>
        <v>5.3827258133928982E-2</v>
      </c>
    </row>
    <row r="87" spans="2:27" x14ac:dyDescent="0.25">
      <c r="U87" s="34">
        <v>27</v>
      </c>
      <c r="V87" s="95">
        <f t="shared" si="7"/>
        <v>5.3586641492850931E-2</v>
      </c>
    </row>
    <row r="88" spans="2:27" x14ac:dyDescent="0.25">
      <c r="U88" s="33">
        <v>27.2</v>
      </c>
      <c r="V88" s="95">
        <f t="shared" si="7"/>
        <v>5.3408185545969739E-2</v>
      </c>
      <c r="X88" s="120" t="s">
        <v>71</v>
      </c>
      <c r="Y88" s="121"/>
      <c r="Z88" s="121"/>
      <c r="AA88" s="122"/>
    </row>
    <row r="89" spans="2:27" x14ac:dyDescent="0.25">
      <c r="U89" s="33">
        <v>28.8</v>
      </c>
      <c r="V89" s="95">
        <f t="shared" si="7"/>
        <v>5.0652114152014066E-2</v>
      </c>
      <c r="X89" s="93" t="s">
        <v>61</v>
      </c>
      <c r="Y89" s="123">
        <f>$G$41</f>
        <v>26.186666666666667</v>
      </c>
      <c r="Z89" s="124"/>
      <c r="AA89" s="125"/>
    </row>
    <row r="90" spans="2:27" x14ac:dyDescent="0.25">
      <c r="U90" s="33">
        <v>29.1</v>
      </c>
      <c r="V90" s="95">
        <f t="shared" si="7"/>
        <v>4.9891072850623532E-2</v>
      </c>
      <c r="X90" s="93" t="s">
        <v>62</v>
      </c>
      <c r="Y90" s="123">
        <f>$G$45</f>
        <v>7.3999763322266165</v>
      </c>
      <c r="Z90" s="124"/>
      <c r="AA90" s="125"/>
    </row>
    <row r="91" spans="2:27" x14ac:dyDescent="0.25">
      <c r="U91" s="33">
        <v>30.1</v>
      </c>
      <c r="V91" s="95">
        <f t="shared" si="7"/>
        <v>4.6876153142717938E-2</v>
      </c>
      <c r="X91" s="93" t="s">
        <v>73</v>
      </c>
      <c r="Y91" s="126">
        <v>25</v>
      </c>
      <c r="Z91" s="127"/>
      <c r="AA91" s="128"/>
    </row>
    <row r="92" spans="2:27" x14ac:dyDescent="0.25">
      <c r="U92" s="34">
        <v>31.1</v>
      </c>
      <c r="V92" s="95">
        <f t="shared" si="7"/>
        <v>4.3246420251736896E-2</v>
      </c>
      <c r="X92" s="93" t="s">
        <v>74</v>
      </c>
      <c r="Y92" s="130">
        <v>30</v>
      </c>
      <c r="Z92" s="130"/>
      <c r="AA92" s="130"/>
    </row>
    <row r="93" spans="2:27" x14ac:dyDescent="0.25">
      <c r="U93" s="34">
        <v>31.2</v>
      </c>
      <c r="V93" s="95">
        <f t="shared" si="7"/>
        <v>4.2856212185976052E-2</v>
      </c>
      <c r="X93" s="129" t="s">
        <v>72</v>
      </c>
      <c r="Y93" s="129"/>
      <c r="Z93" s="129"/>
      <c r="AA93" s="129"/>
    </row>
    <row r="94" spans="2:27" x14ac:dyDescent="0.25">
      <c r="U94" s="34">
        <v>34.1</v>
      </c>
      <c r="V94" s="95">
        <f t="shared" si="7"/>
        <v>3.0434013934475809E-2</v>
      </c>
    </row>
    <row r="95" spans="2:27" x14ac:dyDescent="0.25">
      <c r="U95" s="33">
        <v>34.200000000000003</v>
      </c>
      <c r="V95" s="95">
        <f t="shared" si="7"/>
        <v>2.9994634761542929E-2</v>
      </c>
      <c r="X95" s="91" t="s">
        <v>66</v>
      </c>
      <c r="Y95" s="91" t="s">
        <v>67</v>
      </c>
    </row>
    <row r="96" spans="2:27" x14ac:dyDescent="0.25">
      <c r="U96" s="33">
        <v>35.299999999999997</v>
      </c>
      <c r="V96" s="95">
        <f t="shared" si="7"/>
        <v>2.5254393396350983E-2</v>
      </c>
      <c r="X96" s="89">
        <f>ROUND(_xlfn.NORM.DIST(Y92,$Y$89,$Y$90,1)-_xlfn.NORM.DIST(Y91,$Y$89,$Y$90,1),4)</f>
        <v>0.26050000000000001</v>
      </c>
      <c r="Y96" s="94">
        <f>ROUND(X96*60,0)</f>
        <v>16</v>
      </c>
    </row>
    <row r="97" spans="21:27" x14ac:dyDescent="0.25">
      <c r="U97" s="33">
        <v>35.6</v>
      </c>
      <c r="V97" s="95">
        <f t="shared" si="7"/>
        <v>2.4004734702471168E-2</v>
      </c>
      <c r="X97" s="90">
        <f>X96*100</f>
        <v>26.05</v>
      </c>
      <c r="Y97" s="89"/>
    </row>
    <row r="98" spans="21:27" x14ac:dyDescent="0.25">
      <c r="U98" s="33">
        <v>36.200000000000003</v>
      </c>
      <c r="V98" s="95">
        <f t="shared" si="7"/>
        <v>2.1581195562272573E-2</v>
      </c>
    </row>
    <row r="99" spans="21:27" x14ac:dyDescent="0.25">
      <c r="U99" s="33">
        <v>36.6</v>
      </c>
      <c r="V99" s="95">
        <f t="shared" si="7"/>
        <v>2.002972756847823E-2</v>
      </c>
    </row>
    <row r="100" spans="21:27" x14ac:dyDescent="0.25">
      <c r="U100" s="33">
        <v>40.799999999999997</v>
      </c>
      <c r="V100" s="95">
        <f t="shared" si="7"/>
        <v>7.6710980408379835E-3</v>
      </c>
    </row>
    <row r="101" spans="21:27" x14ac:dyDescent="0.25">
      <c r="U101" s="33">
        <v>41.9</v>
      </c>
      <c r="V101" s="95">
        <f t="shared" si="7"/>
        <v>5.6568206125956529E-3</v>
      </c>
      <c r="X101" s="120" t="s">
        <v>75</v>
      </c>
      <c r="Y101" s="121"/>
      <c r="Z101" s="121"/>
      <c r="AA101" s="122"/>
    </row>
    <row r="102" spans="21:27" x14ac:dyDescent="0.25">
      <c r="U102" s="34">
        <v>42.2</v>
      </c>
      <c r="V102" s="95">
        <f t="shared" si="7"/>
        <v>5.1859598658749485E-3</v>
      </c>
      <c r="X102" s="93" t="s">
        <v>61</v>
      </c>
      <c r="Y102" s="123">
        <f>$G$41</f>
        <v>26.186666666666667</v>
      </c>
      <c r="Z102" s="124"/>
      <c r="AA102" s="125"/>
    </row>
    <row r="103" spans="21:27" x14ac:dyDescent="0.25">
      <c r="U103" s="34">
        <v>44.4</v>
      </c>
      <c r="V103" s="95">
        <f t="shared" si="7"/>
        <v>2.6075656130047954E-3</v>
      </c>
      <c r="X103" s="93" t="s">
        <v>62</v>
      </c>
      <c r="Y103" s="123">
        <f>$G$45</f>
        <v>7.3999763322266165</v>
      </c>
      <c r="Z103" s="124"/>
      <c r="AA103" s="125"/>
    </row>
    <row r="104" spans="21:27" x14ac:dyDescent="0.25">
      <c r="U104" s="34">
        <v>47.1</v>
      </c>
      <c r="V104" s="95">
        <f t="shared" si="7"/>
        <v>9.9383901542316258E-4</v>
      </c>
      <c r="X104" s="93" t="s">
        <v>73</v>
      </c>
      <c r="Y104" s="126">
        <v>30</v>
      </c>
      <c r="Z104" s="127"/>
      <c r="AA104" s="128"/>
    </row>
    <row r="105" spans="21:27" x14ac:dyDescent="0.25">
      <c r="X105" s="129" t="s">
        <v>76</v>
      </c>
      <c r="Y105" s="129"/>
      <c r="Z105" s="129"/>
      <c r="AA105" s="129"/>
    </row>
    <row r="107" spans="21:27" x14ac:dyDescent="0.25">
      <c r="X107" s="91" t="s">
        <v>66</v>
      </c>
      <c r="Y107" s="91" t="s">
        <v>67</v>
      </c>
    </row>
    <row r="108" spans="21:27" x14ac:dyDescent="0.25">
      <c r="X108" s="95">
        <f>1-_xlfn.NORM.DIST(Y104,$Y$102,$Y$103,1)</f>
        <v>0.30316577345960039</v>
      </c>
      <c r="Y108" s="94">
        <f>ROUND(X108*60,0)</f>
        <v>18</v>
      </c>
    </row>
    <row r="109" spans="21:27" x14ac:dyDescent="0.25">
      <c r="X109" s="96">
        <f>ROUND(100-X108,2)</f>
        <v>99.7</v>
      </c>
      <c r="Y109" s="89"/>
    </row>
  </sheetData>
  <sortState ref="U61:U120">
    <sortCondition ref="U60"/>
  </sortState>
  <mergeCells count="40">
    <mergeCell ref="Y103:AA103"/>
    <mergeCell ref="Y104:AA104"/>
    <mergeCell ref="X105:AA105"/>
    <mergeCell ref="X93:AA93"/>
    <mergeCell ref="Y92:AA92"/>
    <mergeCell ref="X101:AA101"/>
    <mergeCell ref="Y102:AA102"/>
    <mergeCell ref="Y89:AA89"/>
    <mergeCell ref="Y90:AA90"/>
    <mergeCell ref="X88:AA88"/>
    <mergeCell ref="Y91:AA91"/>
    <mergeCell ref="U59:V59"/>
    <mergeCell ref="X54:AA54"/>
    <mergeCell ref="Y55:AA55"/>
    <mergeCell ref="Y56:AA56"/>
    <mergeCell ref="Y57:AA57"/>
    <mergeCell ref="X58:AA58"/>
    <mergeCell ref="L29:L30"/>
    <mergeCell ref="D28:F28"/>
    <mergeCell ref="E29:F29"/>
    <mergeCell ref="G29:G30"/>
    <mergeCell ref="H29:H30"/>
    <mergeCell ref="D29:D30"/>
    <mergeCell ref="I29:I30"/>
    <mergeCell ref="N29:N30"/>
    <mergeCell ref="B1:C1"/>
    <mergeCell ref="J36:K36"/>
    <mergeCell ref="J37:K37"/>
    <mergeCell ref="J38:K38"/>
    <mergeCell ref="J29:K30"/>
    <mergeCell ref="J31:K31"/>
    <mergeCell ref="J32:K32"/>
    <mergeCell ref="J33:K33"/>
    <mergeCell ref="J34:K34"/>
    <mergeCell ref="J35:K35"/>
    <mergeCell ref="B7:C7"/>
    <mergeCell ref="B19:C19"/>
    <mergeCell ref="E19:F19"/>
    <mergeCell ref="E22:G22"/>
    <mergeCell ref="E25:F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D2" sqref="D2"/>
    </sheetView>
  </sheetViews>
  <sheetFormatPr baseColWidth="10" defaultRowHeight="15" x14ac:dyDescent="0.25"/>
  <cols>
    <col min="2" max="2" width="11.42578125" style="1"/>
    <col min="3" max="3" width="11.42578125" style="25"/>
    <col min="4" max="4" width="11.42578125" style="4"/>
    <col min="8" max="8" width="12.140625" bestFit="1" customWidth="1"/>
    <col min="9" max="9" width="32.28515625" bestFit="1" customWidth="1"/>
    <col min="10" max="10" width="22.28515625" bestFit="1" customWidth="1"/>
  </cols>
  <sheetData>
    <row r="1" spans="2:10" x14ac:dyDescent="0.25">
      <c r="B1" s="2" t="s">
        <v>0</v>
      </c>
      <c r="C1" s="24" t="s">
        <v>1</v>
      </c>
      <c r="D1" s="3" t="s">
        <v>2</v>
      </c>
      <c r="H1" s="5" t="s">
        <v>2</v>
      </c>
      <c r="I1" s="5" t="s">
        <v>0</v>
      </c>
      <c r="J1" s="5" t="s">
        <v>6</v>
      </c>
    </row>
    <row r="2" spans="2:10" ht="15.75" x14ac:dyDescent="0.25">
      <c r="B2" s="1">
        <v>57</v>
      </c>
      <c r="C2" s="25">
        <v>1.71</v>
      </c>
      <c r="D2" s="4">
        <f>B2/($C2)^2</f>
        <v>19.493177387914233</v>
      </c>
      <c r="H2" s="8" t="s">
        <v>21</v>
      </c>
      <c r="I2" s="9" t="s">
        <v>3</v>
      </c>
      <c r="J2" s="9" t="s">
        <v>4</v>
      </c>
    </row>
    <row r="3" spans="2:10" ht="15.75" x14ac:dyDescent="0.25">
      <c r="B3" s="1">
        <v>60</v>
      </c>
      <c r="C3" s="25">
        <v>1.49</v>
      </c>
      <c r="D3" s="4">
        <f t="shared" ref="D3:D61" si="0">B3/($C3)^2</f>
        <v>27.025809648214047</v>
      </c>
      <c r="H3" s="18" t="s">
        <v>16</v>
      </c>
      <c r="I3" s="18" t="s">
        <v>11</v>
      </c>
      <c r="J3" s="19" t="s">
        <v>5</v>
      </c>
    </row>
    <row r="4" spans="2:10" ht="15.75" x14ac:dyDescent="0.25">
      <c r="B4" s="1">
        <v>40</v>
      </c>
      <c r="C4" s="25">
        <v>1.38</v>
      </c>
      <c r="D4" s="4">
        <f t="shared" si="0"/>
        <v>21.003990758244072</v>
      </c>
      <c r="H4" s="10" t="s">
        <v>17</v>
      </c>
      <c r="I4" s="10" t="s">
        <v>12</v>
      </c>
      <c r="J4" s="11" t="s">
        <v>7</v>
      </c>
    </row>
    <row r="5" spans="2:10" ht="15.75" x14ac:dyDescent="0.25">
      <c r="B5" s="1">
        <v>50</v>
      </c>
      <c r="C5" s="25">
        <v>1.69</v>
      </c>
      <c r="D5" s="4">
        <f t="shared" si="0"/>
        <v>17.506389832288786</v>
      </c>
      <c r="H5" s="12" t="s">
        <v>18</v>
      </c>
      <c r="I5" s="12" t="s">
        <v>13</v>
      </c>
      <c r="J5" s="13" t="s">
        <v>8</v>
      </c>
    </row>
    <row r="6" spans="2:10" ht="15.75" x14ac:dyDescent="0.25">
      <c r="B6" s="1">
        <v>55</v>
      </c>
      <c r="C6" s="25">
        <v>1.45</v>
      </c>
      <c r="D6" s="4">
        <f t="shared" si="0"/>
        <v>26.159334126040427</v>
      </c>
      <c r="H6" s="14" t="s">
        <v>19</v>
      </c>
      <c r="I6" s="14" t="s">
        <v>14</v>
      </c>
      <c r="J6" s="15" t="s">
        <v>9</v>
      </c>
    </row>
    <row r="7" spans="2:10" ht="15.75" x14ac:dyDescent="0.25">
      <c r="B7" s="1">
        <v>90</v>
      </c>
      <c r="C7" s="25">
        <v>1.7</v>
      </c>
      <c r="D7" s="4">
        <f t="shared" si="0"/>
        <v>31.141868512110729</v>
      </c>
      <c r="H7" s="16" t="s">
        <v>20</v>
      </c>
      <c r="I7" s="16" t="s">
        <v>15</v>
      </c>
      <c r="J7" s="17" t="s">
        <v>10</v>
      </c>
    </row>
    <row r="8" spans="2:10" x14ac:dyDescent="0.25">
      <c r="B8" s="1">
        <v>95</v>
      </c>
      <c r="C8" s="25">
        <v>1.67</v>
      </c>
      <c r="D8" s="4">
        <f t="shared" si="0"/>
        <v>34.063609308329447</v>
      </c>
    </row>
    <row r="9" spans="2:10" x14ac:dyDescent="0.25">
      <c r="B9" s="1">
        <v>79</v>
      </c>
      <c r="C9" s="25">
        <v>1.59</v>
      </c>
      <c r="D9" s="4">
        <f t="shared" si="0"/>
        <v>31.24876389383331</v>
      </c>
    </row>
    <row r="10" spans="2:10" x14ac:dyDescent="0.25">
      <c r="B10" s="1">
        <v>45</v>
      </c>
      <c r="C10" s="25">
        <v>1.4</v>
      </c>
      <c r="D10" s="4">
        <f t="shared" si="0"/>
        <v>22.95918367346939</v>
      </c>
    </row>
    <row r="11" spans="2:10" x14ac:dyDescent="0.25">
      <c r="B11" s="1">
        <v>95</v>
      </c>
      <c r="C11" s="25">
        <v>1.5</v>
      </c>
      <c r="D11" s="4">
        <f t="shared" si="0"/>
        <v>42.222222222222221</v>
      </c>
    </row>
    <row r="12" spans="2:10" x14ac:dyDescent="0.25">
      <c r="B12" s="1">
        <v>100</v>
      </c>
      <c r="C12" s="25">
        <v>1.5</v>
      </c>
      <c r="D12" s="4">
        <f t="shared" si="0"/>
        <v>44.444444444444443</v>
      </c>
    </row>
    <row r="13" spans="2:10" x14ac:dyDescent="0.25">
      <c r="B13" s="20">
        <v>99</v>
      </c>
      <c r="C13" s="26">
        <v>1.45</v>
      </c>
      <c r="D13" s="21">
        <f t="shared" si="0"/>
        <v>47.086801426872768</v>
      </c>
    </row>
    <row r="14" spans="2:10" x14ac:dyDescent="0.25">
      <c r="B14" s="22">
        <v>50</v>
      </c>
      <c r="C14" s="27">
        <v>1.7</v>
      </c>
      <c r="D14" s="23">
        <f t="shared" si="0"/>
        <v>17.301038062283737</v>
      </c>
    </row>
    <row r="15" spans="2:10" x14ac:dyDescent="0.25">
      <c r="B15" s="1">
        <v>66</v>
      </c>
      <c r="C15" s="25">
        <v>1.59</v>
      </c>
      <c r="D15" s="4">
        <f t="shared" si="0"/>
        <v>26.106562240417702</v>
      </c>
    </row>
    <row r="16" spans="2:10" x14ac:dyDescent="0.25">
      <c r="B16" s="1">
        <v>50</v>
      </c>
      <c r="C16" s="25">
        <v>1.6</v>
      </c>
      <c r="D16" s="4">
        <f t="shared" si="0"/>
        <v>19.531249999999996</v>
      </c>
    </row>
    <row r="17" spans="2:4" x14ac:dyDescent="0.25">
      <c r="B17" s="1">
        <v>52</v>
      </c>
      <c r="C17" s="25">
        <v>1.49</v>
      </c>
      <c r="D17" s="4">
        <f t="shared" si="0"/>
        <v>23.422368361785505</v>
      </c>
    </row>
    <row r="18" spans="2:4" x14ac:dyDescent="0.25">
      <c r="B18" s="1">
        <v>49</v>
      </c>
      <c r="C18" s="25">
        <v>1.56</v>
      </c>
      <c r="D18" s="4">
        <f t="shared" si="0"/>
        <v>20.134779750164363</v>
      </c>
    </row>
    <row r="19" spans="2:4" x14ac:dyDescent="0.25">
      <c r="B19" s="1">
        <v>56</v>
      </c>
      <c r="C19" s="25">
        <v>1.7</v>
      </c>
      <c r="D19" s="4">
        <f t="shared" si="0"/>
        <v>19.377162629757787</v>
      </c>
    </row>
    <row r="20" spans="2:4" x14ac:dyDescent="0.25">
      <c r="B20" s="1">
        <v>55</v>
      </c>
      <c r="C20" s="25">
        <v>1.7</v>
      </c>
      <c r="D20" s="4">
        <f t="shared" si="0"/>
        <v>19.031141868512112</v>
      </c>
    </row>
    <row r="21" spans="2:4" x14ac:dyDescent="0.25">
      <c r="B21" s="1">
        <v>56</v>
      </c>
      <c r="C21" s="25">
        <v>1.7</v>
      </c>
      <c r="D21" s="4">
        <f t="shared" si="0"/>
        <v>19.377162629757787</v>
      </c>
    </row>
    <row r="22" spans="2:4" x14ac:dyDescent="0.25">
      <c r="B22" s="1">
        <v>55</v>
      </c>
      <c r="C22" s="25">
        <v>1.7</v>
      </c>
      <c r="D22" s="4">
        <f t="shared" si="0"/>
        <v>19.031141868512112</v>
      </c>
    </row>
    <row r="23" spans="2:4" x14ac:dyDescent="0.25">
      <c r="B23" s="1">
        <v>60</v>
      </c>
      <c r="C23" s="25">
        <v>1.6</v>
      </c>
      <c r="D23" s="4">
        <f t="shared" si="0"/>
        <v>23.437499999999996</v>
      </c>
    </row>
    <row r="24" spans="2:4" x14ac:dyDescent="0.25">
      <c r="B24" s="1">
        <v>55</v>
      </c>
      <c r="C24" s="25">
        <v>1.71</v>
      </c>
      <c r="D24" s="4">
        <f t="shared" si="0"/>
        <v>18.809206251496189</v>
      </c>
    </row>
    <row r="25" spans="2:4" x14ac:dyDescent="0.25">
      <c r="B25" s="1">
        <v>60</v>
      </c>
      <c r="C25" s="25">
        <v>1.59</v>
      </c>
      <c r="D25" s="4">
        <f t="shared" si="0"/>
        <v>23.733238400379729</v>
      </c>
    </row>
    <row r="26" spans="2:4" x14ac:dyDescent="0.25">
      <c r="B26" s="1">
        <v>70</v>
      </c>
      <c r="C26" s="25">
        <v>1.66</v>
      </c>
      <c r="D26" s="4">
        <f t="shared" si="0"/>
        <v>25.402816083611555</v>
      </c>
    </row>
    <row r="27" spans="2:4" x14ac:dyDescent="0.25">
      <c r="B27" s="1">
        <v>59</v>
      </c>
      <c r="C27" s="25">
        <v>1.66</v>
      </c>
      <c r="D27" s="4">
        <f t="shared" si="0"/>
        <v>21.410944984758313</v>
      </c>
    </row>
    <row r="28" spans="2:4" x14ac:dyDescent="0.25">
      <c r="B28" s="1">
        <v>60</v>
      </c>
      <c r="C28" s="25">
        <v>1.71</v>
      </c>
      <c r="D28" s="4">
        <f t="shared" si="0"/>
        <v>20.519134092541297</v>
      </c>
    </row>
    <row r="29" spans="2:4" x14ac:dyDescent="0.25">
      <c r="B29" s="1">
        <v>60</v>
      </c>
      <c r="C29" s="25">
        <v>1.71</v>
      </c>
      <c r="D29" s="4">
        <f t="shared" si="0"/>
        <v>20.519134092541297</v>
      </c>
    </row>
    <row r="30" spans="2:4" x14ac:dyDescent="0.25">
      <c r="B30" s="1">
        <v>55</v>
      </c>
      <c r="C30" s="25">
        <v>1.71</v>
      </c>
      <c r="D30" s="4">
        <f t="shared" si="0"/>
        <v>18.809206251496189</v>
      </c>
    </row>
    <row r="31" spans="2:4" x14ac:dyDescent="0.25">
      <c r="B31" s="1">
        <v>70</v>
      </c>
      <c r="C31" s="25">
        <v>1.71</v>
      </c>
      <c r="D31" s="4">
        <f t="shared" si="0"/>
        <v>23.938989774631512</v>
      </c>
    </row>
    <row r="32" spans="2:4" x14ac:dyDescent="0.25">
      <c r="B32" s="1">
        <v>60</v>
      </c>
      <c r="C32" s="25">
        <v>1.59</v>
      </c>
      <c r="D32" s="4">
        <f t="shared" si="0"/>
        <v>23.733238400379729</v>
      </c>
    </row>
    <row r="33" spans="1:5" x14ac:dyDescent="0.25">
      <c r="B33" s="1">
        <v>58</v>
      </c>
      <c r="C33" s="25">
        <v>1.59</v>
      </c>
      <c r="D33" s="4">
        <f t="shared" si="0"/>
        <v>22.942130453700404</v>
      </c>
    </row>
    <row r="34" spans="1:5" x14ac:dyDescent="0.25">
      <c r="B34" s="1">
        <v>60</v>
      </c>
      <c r="C34" s="25">
        <v>1.59</v>
      </c>
      <c r="D34" s="4">
        <f t="shared" si="0"/>
        <v>23.733238400379729</v>
      </c>
    </row>
    <row r="35" spans="1:5" x14ac:dyDescent="0.25">
      <c r="B35" s="1">
        <v>55</v>
      </c>
      <c r="C35" s="25">
        <v>1.71</v>
      </c>
      <c r="D35" s="4">
        <f t="shared" si="0"/>
        <v>18.809206251496189</v>
      </c>
    </row>
    <row r="36" spans="1:5" x14ac:dyDescent="0.25">
      <c r="B36" s="1">
        <v>71</v>
      </c>
      <c r="C36" s="25">
        <v>1.71</v>
      </c>
      <c r="D36" s="4">
        <f t="shared" si="0"/>
        <v>24.280975342840534</v>
      </c>
    </row>
    <row r="37" spans="1:5" x14ac:dyDescent="0.25">
      <c r="A37" s="28"/>
      <c r="B37" s="29">
        <v>60</v>
      </c>
      <c r="C37" s="30">
        <v>1.56</v>
      </c>
      <c r="D37" s="31">
        <f t="shared" si="0"/>
        <v>24.654832347140037</v>
      </c>
      <c r="E37" s="28"/>
    </row>
    <row r="38" spans="1:5" x14ac:dyDescent="0.25">
      <c r="B38" s="1">
        <v>59</v>
      </c>
      <c r="C38" s="25">
        <v>1.56</v>
      </c>
      <c r="D38" s="4">
        <f t="shared" si="0"/>
        <v>24.243918474687703</v>
      </c>
    </row>
    <row r="39" spans="1:5" x14ac:dyDescent="0.25">
      <c r="B39" s="1">
        <v>59</v>
      </c>
      <c r="C39" s="25">
        <v>1.66</v>
      </c>
      <c r="D39" s="4">
        <f t="shared" si="0"/>
        <v>21.410944984758313</v>
      </c>
    </row>
    <row r="40" spans="1:5" x14ac:dyDescent="0.25">
      <c r="B40" s="1">
        <v>46</v>
      </c>
      <c r="C40" s="25">
        <v>1.56</v>
      </c>
      <c r="D40" s="4">
        <f t="shared" si="0"/>
        <v>18.902038132807363</v>
      </c>
    </row>
    <row r="41" spans="1:5" x14ac:dyDescent="0.25">
      <c r="B41" s="1">
        <v>50</v>
      </c>
      <c r="C41" s="25">
        <v>1.69</v>
      </c>
      <c r="D41" s="4">
        <f t="shared" si="0"/>
        <v>17.506389832288786</v>
      </c>
    </row>
    <row r="42" spans="1:5" x14ac:dyDescent="0.25">
      <c r="B42" s="1">
        <v>50</v>
      </c>
      <c r="C42" s="25">
        <v>1.69</v>
      </c>
      <c r="D42" s="4">
        <f t="shared" si="0"/>
        <v>17.506389832288786</v>
      </c>
    </row>
    <row r="43" spans="1:5" x14ac:dyDescent="0.25">
      <c r="B43" s="1">
        <v>50</v>
      </c>
      <c r="C43" s="25">
        <v>1.69</v>
      </c>
      <c r="D43" s="4">
        <f t="shared" si="0"/>
        <v>17.506389832288786</v>
      </c>
    </row>
    <row r="44" spans="1:5" x14ac:dyDescent="0.25">
      <c r="B44" s="1">
        <v>60</v>
      </c>
      <c r="C44" s="25">
        <v>1.56</v>
      </c>
      <c r="D44" s="4">
        <f t="shared" si="0"/>
        <v>24.654832347140037</v>
      </c>
    </row>
    <row r="45" spans="1:5" x14ac:dyDescent="0.25">
      <c r="B45" s="1">
        <v>70</v>
      </c>
      <c r="C45" s="25">
        <v>1.56</v>
      </c>
      <c r="D45" s="4">
        <f t="shared" si="0"/>
        <v>28.763971071663377</v>
      </c>
    </row>
    <row r="46" spans="1:5" x14ac:dyDescent="0.25">
      <c r="B46" s="1">
        <v>75</v>
      </c>
      <c r="C46" s="25">
        <v>1.66</v>
      </c>
      <c r="D46" s="4">
        <f t="shared" si="0"/>
        <v>27.217302946726669</v>
      </c>
    </row>
    <row r="47" spans="1:5" x14ac:dyDescent="0.25">
      <c r="B47" s="1">
        <v>90</v>
      </c>
      <c r="C47" s="25">
        <v>1.76</v>
      </c>
      <c r="D47" s="4">
        <f t="shared" si="0"/>
        <v>29.054752066115704</v>
      </c>
    </row>
    <row r="48" spans="1:5" x14ac:dyDescent="0.25">
      <c r="B48" s="1">
        <v>89</v>
      </c>
      <c r="C48" s="25">
        <v>1.56</v>
      </c>
      <c r="D48" s="4">
        <f t="shared" si="0"/>
        <v>36.571334648257725</v>
      </c>
    </row>
    <row r="49" spans="2:4" x14ac:dyDescent="0.25">
      <c r="B49" s="1">
        <v>88</v>
      </c>
      <c r="C49" s="25">
        <v>1.56</v>
      </c>
      <c r="D49" s="4">
        <f t="shared" si="0"/>
        <v>36.160420775805385</v>
      </c>
    </row>
    <row r="50" spans="2:4" x14ac:dyDescent="0.25">
      <c r="B50" s="1">
        <v>83</v>
      </c>
      <c r="C50" s="25">
        <v>1.66</v>
      </c>
      <c r="D50" s="4">
        <f t="shared" si="0"/>
        <v>30.120481927710845</v>
      </c>
    </row>
    <row r="51" spans="2:4" x14ac:dyDescent="0.25">
      <c r="B51" s="1">
        <v>86</v>
      </c>
      <c r="C51" s="25">
        <v>1.56</v>
      </c>
      <c r="D51" s="4">
        <f t="shared" si="0"/>
        <v>35.338593030900718</v>
      </c>
    </row>
    <row r="52" spans="2:4" x14ac:dyDescent="0.25">
      <c r="B52" s="1">
        <v>88</v>
      </c>
      <c r="C52" s="25">
        <v>1.71</v>
      </c>
      <c r="D52" s="4">
        <f t="shared" si="0"/>
        <v>30.094730002393902</v>
      </c>
    </row>
    <row r="53" spans="2:4" x14ac:dyDescent="0.25">
      <c r="B53" s="1">
        <v>89</v>
      </c>
      <c r="C53" s="25">
        <v>1.56</v>
      </c>
      <c r="D53" s="4">
        <f t="shared" si="0"/>
        <v>36.571334648257725</v>
      </c>
    </row>
    <row r="54" spans="2:4" x14ac:dyDescent="0.25">
      <c r="B54" s="1">
        <v>59</v>
      </c>
      <c r="C54" s="25">
        <v>1.49</v>
      </c>
      <c r="D54" s="4">
        <f t="shared" si="0"/>
        <v>26.575379487410476</v>
      </c>
    </row>
    <row r="55" spans="2:4" x14ac:dyDescent="0.25">
      <c r="B55" s="1">
        <v>59</v>
      </c>
      <c r="C55" s="25">
        <v>1.7</v>
      </c>
      <c r="D55" s="4">
        <f t="shared" si="0"/>
        <v>20.415224913494811</v>
      </c>
    </row>
    <row r="56" spans="2:4" x14ac:dyDescent="0.25">
      <c r="B56" s="1">
        <v>88</v>
      </c>
      <c r="C56" s="25">
        <v>1.45</v>
      </c>
      <c r="D56" s="4">
        <f t="shared" si="0"/>
        <v>41.854934601664681</v>
      </c>
    </row>
    <row r="57" spans="2:4" x14ac:dyDescent="0.25">
      <c r="B57" s="1">
        <v>70</v>
      </c>
      <c r="C57" s="25">
        <v>1.5</v>
      </c>
      <c r="D57" s="4">
        <f t="shared" si="0"/>
        <v>31.111111111111111</v>
      </c>
    </row>
    <row r="58" spans="2:4" x14ac:dyDescent="0.25">
      <c r="B58" s="1">
        <v>77</v>
      </c>
      <c r="C58" s="25">
        <v>1.47</v>
      </c>
      <c r="D58" s="4">
        <f t="shared" si="0"/>
        <v>35.633300939423393</v>
      </c>
    </row>
    <row r="59" spans="2:4" x14ac:dyDescent="0.25">
      <c r="B59" s="1">
        <v>66</v>
      </c>
      <c r="C59" s="25">
        <v>1.39</v>
      </c>
      <c r="D59" s="4">
        <f t="shared" si="0"/>
        <v>34.159722581646918</v>
      </c>
    </row>
    <row r="60" spans="2:4" x14ac:dyDescent="0.25">
      <c r="B60" s="1">
        <v>59</v>
      </c>
      <c r="C60" s="25">
        <v>1.61</v>
      </c>
      <c r="D60" s="4">
        <f t="shared" si="0"/>
        <v>22.761467535974688</v>
      </c>
    </row>
    <row r="61" spans="2:4" x14ac:dyDescent="0.25">
      <c r="B61" s="1">
        <v>87</v>
      </c>
      <c r="C61" s="25">
        <v>1.46</v>
      </c>
      <c r="D61" s="4">
        <f t="shared" si="0"/>
        <v>40.814411709513983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</vt:lpstr>
      <vt:lpstr>Calculos del IMC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Sergio Hernández Vite</cp:lastModifiedBy>
  <dcterms:created xsi:type="dcterms:W3CDTF">2018-02-24T01:48:12Z</dcterms:created>
  <dcterms:modified xsi:type="dcterms:W3CDTF">2018-03-07T08:05:37Z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43c276b4-b680-49af-8e8a-e25a61aa8dfe</vt:lpwstr>
  </property>
</Properties>
</file>